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defaultThemeVersion="166925"/>
  <mc:AlternateContent xmlns:mc="http://schemas.openxmlformats.org/markup-compatibility/2006">
    <mc:Choice Requires="x15">
      <x15ac:absPath xmlns:x15ac="http://schemas.microsoft.com/office/spreadsheetml/2010/11/ac" url="D:\Desktop Data\RIL 4th Week\"/>
    </mc:Choice>
  </mc:AlternateContent>
  <xr:revisionPtr revIDLastSave="0" documentId="8_{4A369306-035F-4F89-ABA4-05F25F889C19}" xr6:coauthVersionLast="47" xr6:coauthVersionMax="47" xr10:uidLastSave="{00000000-0000-0000-0000-000000000000}"/>
  <bookViews>
    <workbookView xWindow="-120" yWindow="-120" windowWidth="20730" windowHeight="11160" tabRatio="648" firstSheet="12" activeTab="12" xr2:uid="{FC0C5651-55DF-428D-B44B-516314C33FC7}"/>
  </bookViews>
  <sheets>
    <sheet name="Cover Page" sheetId="15" r:id="rId1"/>
    <sheet name="Equipment List " sheetId="14" r:id="rId2"/>
    <sheet name="Capex" sheetId="5" r:id="rId3"/>
    <sheet name="Opex Segmental(84 KTPA)" sheetId="11" r:id="rId4"/>
    <sheet name="Opex" sheetId="6" state="hidden" r:id="rId5"/>
    <sheet name="Opex Total(84 KTPA)" sheetId="18" r:id="rId6"/>
    <sheet name="Salary and Wages Estimation" sheetId="21" r:id="rId7"/>
    <sheet name="Cash Flow Epoxy Resin" sheetId="10" r:id="rId8"/>
    <sheet name="Cash Flow" sheetId="7" state="hidden" r:id="rId9"/>
    <sheet name="Cost of Production - LER" sheetId="24" r:id="rId10"/>
    <sheet name="Cost of Production - SER" sheetId="23" r:id="rId11"/>
    <sheet name="Cost of Production - SSER" sheetId="25" r:id="rId12"/>
    <sheet name="Cost of Production- Specialized" sheetId="30" r:id="rId13"/>
    <sheet name="China Epoxy Resin" sheetId="29" r:id="rId14"/>
    <sheet name="Raw Material Prices" sheetId="28" r:id="rId15"/>
    <sheet name="Working sheet" sheetId="9" r:id="rId16"/>
  </sheets>
  <definedNames>
    <definedName name="_xlnm._FilterDatabase" localSheetId="13" hidden="1">'China Epoxy Resin'!$A$1:$E$154</definedName>
    <definedName name="_xlnm._FilterDatabase" localSheetId="10" hidden="1">'Cost of Production - SER'!#REF!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75" i="11" l="1"/>
  <c r="Z55" i="28"/>
  <c r="Z56" i="28"/>
  <c r="Z57" i="28"/>
  <c r="Z58" i="28"/>
  <c r="Z59" i="28"/>
  <c r="Z60" i="28"/>
  <c r="Z61" i="28"/>
  <c r="Z62" i="28"/>
  <c r="Z63" i="28"/>
  <c r="Z64" i="28"/>
  <c r="Z65" i="28"/>
  <c r="Z54" i="28"/>
  <c r="Z43" i="28"/>
  <c r="Z44" i="28"/>
  <c r="Z45" i="28"/>
  <c r="Z46" i="28"/>
  <c r="Z47" i="28"/>
  <c r="Z48" i="28"/>
  <c r="Z49" i="28"/>
  <c r="Z50" i="28"/>
  <c r="Z51" i="28"/>
  <c r="Z52" i="28"/>
  <c r="Z53" i="28"/>
  <c r="Z42" i="28"/>
  <c r="Z31" i="28"/>
  <c r="Z32" i="28"/>
  <c r="Z33" i="28"/>
  <c r="Z34" i="28"/>
  <c r="Z35" i="28"/>
  <c r="Z36" i="28"/>
  <c r="Z37" i="28"/>
  <c r="Z38" i="28"/>
  <c r="Z39" i="28"/>
  <c r="Z40" i="28"/>
  <c r="Z41" i="28"/>
  <c r="Z30" i="28"/>
  <c r="Z19" i="28"/>
  <c r="Z20" i="28"/>
  <c r="Z21" i="28"/>
  <c r="Z22" i="28"/>
  <c r="Z23" i="28"/>
  <c r="Z24" i="28"/>
  <c r="Z25" i="28"/>
  <c r="Z26" i="28"/>
  <c r="Z27" i="28"/>
  <c r="Z28" i="28"/>
  <c r="Z29" i="28"/>
  <c r="Z18" i="28"/>
  <c r="Z7" i="28"/>
  <c r="Z8" i="28"/>
  <c r="Z9" i="28"/>
  <c r="Z10" i="28"/>
  <c r="Z11" i="28"/>
  <c r="Z12" i="28"/>
  <c r="Z13" i="28"/>
  <c r="Z14" i="28"/>
  <c r="Z15" i="28"/>
  <c r="Z16" i="28"/>
  <c r="Z17" i="28"/>
  <c r="Z6" i="28"/>
  <c r="Y7" i="28"/>
  <c r="Y8" i="28"/>
  <c r="Y9" i="28"/>
  <c r="Y10" i="28"/>
  <c r="Y11" i="28"/>
  <c r="Y12" i="28"/>
  <c r="Y13" i="28"/>
  <c r="Y14" i="28"/>
  <c r="Y15" i="28"/>
  <c r="Y16" i="28"/>
  <c r="Y17" i="28"/>
  <c r="Y18" i="28"/>
  <c r="Y19" i="28"/>
  <c r="Y20" i="28"/>
  <c r="Y21" i="28"/>
  <c r="Y22" i="28"/>
  <c r="Y23" i="28"/>
  <c r="Y24" i="28"/>
  <c r="Y25" i="28"/>
  <c r="Y26" i="28"/>
  <c r="Y27" i="28"/>
  <c r="Y28" i="28"/>
  <c r="Y29" i="28"/>
  <c r="Y30" i="28"/>
  <c r="Y31" i="28"/>
  <c r="Y32" i="28"/>
  <c r="Y33" i="28"/>
  <c r="Y34" i="28"/>
  <c r="Y35" i="28"/>
  <c r="Y36" i="28"/>
  <c r="Y37" i="28"/>
  <c r="Y38" i="28"/>
  <c r="Y39" i="28"/>
  <c r="Y40" i="28"/>
  <c r="Y41" i="28"/>
  <c r="Y42" i="28"/>
  <c r="Y43" i="28"/>
  <c r="Y44" i="28"/>
  <c r="Y45" i="28"/>
  <c r="Y46" i="28"/>
  <c r="Y47" i="28"/>
  <c r="Y48" i="28"/>
  <c r="Y49" i="28"/>
  <c r="Y50" i="28"/>
  <c r="Y51" i="28"/>
  <c r="Y52" i="28"/>
  <c r="Y53" i="28"/>
  <c r="Y54" i="28"/>
  <c r="Y55" i="28"/>
  <c r="Y56" i="28"/>
  <c r="Y57" i="28"/>
  <c r="Y58" i="28"/>
  <c r="Y59" i="28"/>
  <c r="Y60" i="28"/>
  <c r="Y61" i="28"/>
  <c r="Y62" i="28"/>
  <c r="Y63" i="28"/>
  <c r="Y64" i="28"/>
  <c r="Y65" i="28"/>
  <c r="Y6" i="28"/>
  <c r="X7" i="28"/>
  <c r="X8" i="28"/>
  <c r="X9" i="28"/>
  <c r="X10" i="28"/>
  <c r="X11" i="28"/>
  <c r="X12" i="28"/>
  <c r="X13" i="28"/>
  <c r="X14" i="28"/>
  <c r="X15" i="28"/>
  <c r="X16" i="28"/>
  <c r="X17" i="28"/>
  <c r="X18" i="28"/>
  <c r="X19" i="28"/>
  <c r="X20" i="28"/>
  <c r="X21" i="28"/>
  <c r="X22" i="28"/>
  <c r="X23" i="28"/>
  <c r="X24" i="28"/>
  <c r="X25" i="28"/>
  <c r="X26" i="28"/>
  <c r="X27" i="28"/>
  <c r="X28" i="28"/>
  <c r="X29" i="28"/>
  <c r="X30" i="28"/>
  <c r="X31" i="28"/>
  <c r="X32" i="28"/>
  <c r="X33" i="28"/>
  <c r="X34" i="28"/>
  <c r="X35" i="28"/>
  <c r="X36" i="28"/>
  <c r="X37" i="28"/>
  <c r="X38" i="28"/>
  <c r="X39" i="28"/>
  <c r="X40" i="28"/>
  <c r="X41" i="28"/>
  <c r="X42" i="28"/>
  <c r="X43" i="28"/>
  <c r="X44" i="28"/>
  <c r="X45" i="28"/>
  <c r="X46" i="28"/>
  <c r="X47" i="28"/>
  <c r="X48" i="28"/>
  <c r="X49" i="28"/>
  <c r="X50" i="28"/>
  <c r="X51" i="28"/>
  <c r="X52" i="28"/>
  <c r="X53" i="28"/>
  <c r="X54" i="28"/>
  <c r="X55" i="28"/>
  <c r="X56" i="28"/>
  <c r="X57" i="28"/>
  <c r="X58" i="28"/>
  <c r="X59" i="28"/>
  <c r="X60" i="28"/>
  <c r="X61" i="28"/>
  <c r="X62" i="28"/>
  <c r="X63" i="28"/>
  <c r="X64" i="28"/>
  <c r="X65" i="28"/>
  <c r="X6" i="28"/>
  <c r="W7" i="28"/>
  <c r="W8" i="28"/>
  <c r="W9" i="28"/>
  <c r="W10" i="28"/>
  <c r="W11" i="28"/>
  <c r="W12" i="28"/>
  <c r="W13" i="28"/>
  <c r="W14" i="28"/>
  <c r="W15" i="28"/>
  <c r="W16" i="28"/>
  <c r="W17" i="28"/>
  <c r="W18" i="28"/>
  <c r="W19" i="28"/>
  <c r="W20" i="28"/>
  <c r="W21" i="28"/>
  <c r="W22" i="28"/>
  <c r="W23" i="28"/>
  <c r="W24" i="28"/>
  <c r="W25" i="28"/>
  <c r="W26" i="28"/>
  <c r="W27" i="28"/>
  <c r="W28" i="28"/>
  <c r="W29" i="28"/>
  <c r="W30" i="28"/>
  <c r="W31" i="28"/>
  <c r="W32" i="28"/>
  <c r="W33" i="28"/>
  <c r="W34" i="28"/>
  <c r="W35" i="28"/>
  <c r="W36" i="28"/>
  <c r="W37" i="28"/>
  <c r="W38" i="28"/>
  <c r="W39" i="28"/>
  <c r="W40" i="28"/>
  <c r="W41" i="28"/>
  <c r="W42" i="28"/>
  <c r="W43" i="28"/>
  <c r="W44" i="28"/>
  <c r="W45" i="28"/>
  <c r="W46" i="28"/>
  <c r="W47" i="28"/>
  <c r="W48" i="28"/>
  <c r="W49" i="28"/>
  <c r="W50" i="28"/>
  <c r="W51" i="28"/>
  <c r="W52" i="28"/>
  <c r="W53" i="28"/>
  <c r="W54" i="28"/>
  <c r="W55" i="28"/>
  <c r="W56" i="28"/>
  <c r="W57" i="28"/>
  <c r="W58" i="28"/>
  <c r="W59" i="28"/>
  <c r="W60" i="28"/>
  <c r="W61" i="28"/>
  <c r="W62" i="28"/>
  <c r="W63" i="28"/>
  <c r="W64" i="28"/>
  <c r="W65" i="28"/>
  <c r="W6" i="28"/>
  <c r="V7" i="28"/>
  <c r="V8" i="28"/>
  <c r="V9" i="28"/>
  <c r="V10" i="28"/>
  <c r="V11" i="28"/>
  <c r="V12" i="28"/>
  <c r="V13" i="28"/>
  <c r="V14" i="28"/>
  <c r="V15" i="28"/>
  <c r="V16" i="28"/>
  <c r="V17" i="28"/>
  <c r="V18" i="28"/>
  <c r="V19" i="28"/>
  <c r="V20" i="28"/>
  <c r="V21" i="28"/>
  <c r="V22" i="28"/>
  <c r="V23" i="28"/>
  <c r="V24" i="28"/>
  <c r="V25" i="28"/>
  <c r="V26" i="28"/>
  <c r="V27" i="28"/>
  <c r="V28" i="28"/>
  <c r="V29" i="28"/>
  <c r="V30" i="28"/>
  <c r="V31" i="28"/>
  <c r="V32" i="28"/>
  <c r="V33" i="28"/>
  <c r="V34" i="28"/>
  <c r="V35" i="28"/>
  <c r="V36" i="28"/>
  <c r="V37" i="28"/>
  <c r="V38" i="28"/>
  <c r="V39" i="28"/>
  <c r="V40" i="28"/>
  <c r="V41" i="28"/>
  <c r="V42" i="28"/>
  <c r="V43" i="28"/>
  <c r="V44" i="28"/>
  <c r="V45" i="28"/>
  <c r="V46" i="28"/>
  <c r="V47" i="28"/>
  <c r="V48" i="28"/>
  <c r="V49" i="28"/>
  <c r="V50" i="28"/>
  <c r="V51" i="28"/>
  <c r="V52" i="28"/>
  <c r="V53" i="28"/>
  <c r="V54" i="28"/>
  <c r="V55" i="28"/>
  <c r="V56" i="28"/>
  <c r="V57" i="28"/>
  <c r="V58" i="28"/>
  <c r="V59" i="28"/>
  <c r="V60" i="28"/>
  <c r="V61" i="28"/>
  <c r="V62" i="28"/>
  <c r="V63" i="28"/>
  <c r="V64" i="28"/>
  <c r="V65" i="28"/>
  <c r="V6" i="28"/>
  <c r="R6" i="28"/>
  <c r="S6" i="28" s="1"/>
  <c r="S55" i="28"/>
  <c r="S56" i="28"/>
  <c r="S57" i="28"/>
  <c r="S58" i="28"/>
  <c r="S59" i="28"/>
  <c r="S60" i="28"/>
  <c r="S61" i="28"/>
  <c r="S62" i="28"/>
  <c r="S63" i="28"/>
  <c r="S64" i="28"/>
  <c r="S65" i="28"/>
  <c r="S54" i="28"/>
  <c r="S43" i="28"/>
  <c r="S44" i="28"/>
  <c r="S45" i="28"/>
  <c r="S46" i="28"/>
  <c r="S47" i="28"/>
  <c r="S48" i="28"/>
  <c r="S49" i="28"/>
  <c r="S50" i="28"/>
  <c r="S51" i="28"/>
  <c r="S52" i="28"/>
  <c r="S53" i="28"/>
  <c r="S42" i="28"/>
  <c r="S31" i="28"/>
  <c r="S32" i="28"/>
  <c r="S33" i="28"/>
  <c r="S34" i="28"/>
  <c r="S35" i="28"/>
  <c r="S36" i="28"/>
  <c r="S37" i="28"/>
  <c r="S38" i="28"/>
  <c r="S39" i="28"/>
  <c r="S40" i="28"/>
  <c r="S41" i="28"/>
  <c r="S30" i="28"/>
  <c r="S19" i="28"/>
  <c r="S20" i="28"/>
  <c r="S21" i="28"/>
  <c r="S22" i="28"/>
  <c r="S23" i="28"/>
  <c r="S24" i="28"/>
  <c r="S25" i="28"/>
  <c r="S26" i="28"/>
  <c r="S27" i="28"/>
  <c r="S28" i="28"/>
  <c r="S29" i="28"/>
  <c r="S18" i="28"/>
  <c r="S7" i="28"/>
  <c r="S8" i="28"/>
  <c r="S9" i="28"/>
  <c r="S10" i="28"/>
  <c r="S11" i="28"/>
  <c r="S12" i="28"/>
  <c r="S13" i="28"/>
  <c r="S14" i="28"/>
  <c r="S15" i="28"/>
  <c r="S16" i="28"/>
  <c r="S17" i="28"/>
  <c r="P11" i="28"/>
  <c r="Q7" i="28"/>
  <c r="Q8" i="28"/>
  <c r="Q9" i="28"/>
  <c r="Q10" i="28"/>
  <c r="Q11" i="28"/>
  <c r="Q12" i="28"/>
  <c r="Q13" i="28"/>
  <c r="Q14" i="28"/>
  <c r="Q15" i="28"/>
  <c r="Q16" i="28"/>
  <c r="Q17" i="28"/>
  <c r="Q18" i="28"/>
  <c r="Q19" i="28"/>
  <c r="Q20" i="28"/>
  <c r="Q21" i="28"/>
  <c r="Q22" i="28"/>
  <c r="Q23" i="28"/>
  <c r="Q24" i="28"/>
  <c r="Q25" i="28"/>
  <c r="Q26" i="28"/>
  <c r="Q27" i="28"/>
  <c r="Q28" i="28"/>
  <c r="Q29" i="28"/>
  <c r="Q30" i="28"/>
  <c r="Q31" i="28"/>
  <c r="Q32" i="28"/>
  <c r="Q33" i="28"/>
  <c r="Q34" i="28"/>
  <c r="Q35" i="28"/>
  <c r="Q36" i="28"/>
  <c r="Q37" i="28"/>
  <c r="Q38" i="28"/>
  <c r="Q39" i="28"/>
  <c r="Q40" i="28"/>
  <c r="Q41" i="28"/>
  <c r="Q42" i="28"/>
  <c r="Q43" i="28"/>
  <c r="Q44" i="28"/>
  <c r="Q45" i="28"/>
  <c r="Q46" i="28"/>
  <c r="Q47" i="28"/>
  <c r="Q48" i="28"/>
  <c r="Q49" i="28"/>
  <c r="Q50" i="28"/>
  <c r="Q51" i="28"/>
  <c r="Q52" i="28"/>
  <c r="Q53" i="28"/>
  <c r="Q54" i="28"/>
  <c r="Q55" i="28"/>
  <c r="Q56" i="28"/>
  <c r="Q57" i="28"/>
  <c r="Q58" i="28"/>
  <c r="Q59" i="28"/>
  <c r="Q60" i="28"/>
  <c r="Q61" i="28"/>
  <c r="Q62" i="28"/>
  <c r="Q63" i="28"/>
  <c r="Q64" i="28"/>
  <c r="Q65" i="28"/>
  <c r="Q6" i="28"/>
  <c r="O7" i="28"/>
  <c r="O8" i="28"/>
  <c r="O9" i="28"/>
  <c r="O10" i="28"/>
  <c r="O11" i="28"/>
  <c r="O12" i="28"/>
  <c r="O13" i="28"/>
  <c r="O14" i="28"/>
  <c r="O15" i="28"/>
  <c r="O16" i="28"/>
  <c r="O17" i="28"/>
  <c r="O18" i="28"/>
  <c r="O19" i="28"/>
  <c r="O20" i="28"/>
  <c r="O21" i="28"/>
  <c r="O22" i="28"/>
  <c r="O23" i="28"/>
  <c r="O24" i="28"/>
  <c r="O25" i="28"/>
  <c r="O26" i="28"/>
  <c r="O27" i="28"/>
  <c r="O28" i="28"/>
  <c r="O29" i="28"/>
  <c r="O30" i="28"/>
  <c r="O31" i="28"/>
  <c r="O32" i="28"/>
  <c r="O33" i="28"/>
  <c r="O34" i="28"/>
  <c r="O35" i="28"/>
  <c r="O36" i="28"/>
  <c r="O37" i="28"/>
  <c r="O38" i="28"/>
  <c r="O39" i="28"/>
  <c r="O40" i="28"/>
  <c r="O41" i="28"/>
  <c r="O42" i="28"/>
  <c r="O43" i="28"/>
  <c r="O44" i="28"/>
  <c r="O45" i="28"/>
  <c r="O46" i="28"/>
  <c r="O47" i="28"/>
  <c r="O48" i="28"/>
  <c r="O49" i="28"/>
  <c r="O50" i="28"/>
  <c r="O51" i="28"/>
  <c r="O52" i="28"/>
  <c r="O53" i="28"/>
  <c r="O54" i="28"/>
  <c r="O55" i="28"/>
  <c r="O56" i="28"/>
  <c r="O57" i="28"/>
  <c r="O58" i="28"/>
  <c r="O59" i="28"/>
  <c r="O60" i="28"/>
  <c r="O61" i="28"/>
  <c r="O62" i="28"/>
  <c r="O63" i="28"/>
  <c r="O64" i="28"/>
  <c r="O65" i="28"/>
  <c r="O6" i="28"/>
  <c r="G54" i="28"/>
  <c r="J54" i="28" s="1"/>
  <c r="K54" i="28" s="1"/>
  <c r="L54" i="28" s="1"/>
  <c r="H54" i="28"/>
  <c r="I54" i="28"/>
  <c r="G55" i="28"/>
  <c r="H55" i="28"/>
  <c r="I55" i="28"/>
  <c r="G56" i="28"/>
  <c r="J56" i="28" s="1"/>
  <c r="K56" i="28" s="1"/>
  <c r="L56" i="28" s="1"/>
  <c r="H56" i="28"/>
  <c r="I56" i="28"/>
  <c r="G57" i="28"/>
  <c r="H57" i="28"/>
  <c r="I57" i="28"/>
  <c r="G58" i="28"/>
  <c r="H58" i="28"/>
  <c r="I58" i="28"/>
  <c r="G59" i="28"/>
  <c r="H59" i="28"/>
  <c r="I59" i="28"/>
  <c r="G60" i="28"/>
  <c r="H60" i="28"/>
  <c r="I60" i="28"/>
  <c r="J60" i="28" s="1"/>
  <c r="K60" i="28" s="1"/>
  <c r="L60" i="28" s="1"/>
  <c r="G61" i="28"/>
  <c r="H61" i="28"/>
  <c r="I61" i="28"/>
  <c r="G62" i="28"/>
  <c r="H62" i="28"/>
  <c r="I62" i="28"/>
  <c r="G63" i="28"/>
  <c r="H63" i="28"/>
  <c r="I63" i="28"/>
  <c r="G64" i="28"/>
  <c r="J64" i="28" s="1"/>
  <c r="K64" i="28" s="1"/>
  <c r="L64" i="28" s="1"/>
  <c r="H64" i="28"/>
  <c r="I64" i="28"/>
  <c r="G65" i="28"/>
  <c r="H65" i="28"/>
  <c r="I65" i="28"/>
  <c r="L48" i="28"/>
  <c r="G42" i="28"/>
  <c r="J42" i="28" s="1"/>
  <c r="K42" i="28" s="1"/>
  <c r="L42" i="28" s="1"/>
  <c r="H42" i="28"/>
  <c r="I42" i="28"/>
  <c r="G43" i="28"/>
  <c r="H43" i="28"/>
  <c r="I43" i="28"/>
  <c r="G44" i="28"/>
  <c r="H44" i="28"/>
  <c r="I44" i="28"/>
  <c r="G45" i="28"/>
  <c r="H45" i="28"/>
  <c r="I45" i="28"/>
  <c r="G46" i="28"/>
  <c r="H46" i="28"/>
  <c r="I46" i="28"/>
  <c r="J46" i="28"/>
  <c r="K46" i="28" s="1"/>
  <c r="L46" i="28" s="1"/>
  <c r="G47" i="28"/>
  <c r="H47" i="28"/>
  <c r="I47" i="28"/>
  <c r="G48" i="28"/>
  <c r="J48" i="28" s="1"/>
  <c r="K48" i="28" s="1"/>
  <c r="H48" i="28"/>
  <c r="I48" i="28"/>
  <c r="G49" i="28"/>
  <c r="J49" i="28" s="1"/>
  <c r="K49" i="28" s="1"/>
  <c r="L49" i="28" s="1"/>
  <c r="H49" i="28"/>
  <c r="I49" i="28"/>
  <c r="G50" i="28"/>
  <c r="J50" i="28" s="1"/>
  <c r="K50" i="28" s="1"/>
  <c r="L50" i="28" s="1"/>
  <c r="H50" i="28"/>
  <c r="I50" i="28"/>
  <c r="G51" i="28"/>
  <c r="H51" i="28"/>
  <c r="I51" i="28"/>
  <c r="G52" i="28"/>
  <c r="H52" i="28"/>
  <c r="I52" i="28"/>
  <c r="G53" i="28"/>
  <c r="H53" i="28"/>
  <c r="I53" i="28"/>
  <c r="G30" i="28"/>
  <c r="H30" i="28"/>
  <c r="G31" i="28"/>
  <c r="H31" i="28"/>
  <c r="G32" i="28"/>
  <c r="H32" i="28"/>
  <c r="G33" i="28"/>
  <c r="H33" i="28"/>
  <c r="G34" i="28"/>
  <c r="H34" i="28"/>
  <c r="G35" i="28"/>
  <c r="H35" i="28"/>
  <c r="I35" i="28"/>
  <c r="G36" i="28"/>
  <c r="H36" i="28"/>
  <c r="I36" i="28"/>
  <c r="G37" i="28"/>
  <c r="H37" i="28"/>
  <c r="I37" i="28"/>
  <c r="G38" i="28"/>
  <c r="H38" i="28"/>
  <c r="I38" i="28"/>
  <c r="G39" i="28"/>
  <c r="H39" i="28"/>
  <c r="I39" i="28"/>
  <c r="G40" i="28"/>
  <c r="J40" i="28" s="1"/>
  <c r="K40" i="28" s="1"/>
  <c r="L40" i="28" s="1"/>
  <c r="H40" i="28"/>
  <c r="I40" i="28"/>
  <c r="G41" i="28"/>
  <c r="H41" i="28"/>
  <c r="I41" i="28"/>
  <c r="G29" i="28"/>
  <c r="H29" i="28"/>
  <c r="G19" i="28"/>
  <c r="H19" i="28"/>
  <c r="I19" i="28"/>
  <c r="G20" i="28"/>
  <c r="H20" i="28"/>
  <c r="I20" i="28"/>
  <c r="G21" i="28"/>
  <c r="H21" i="28"/>
  <c r="J21" i="28" s="1"/>
  <c r="K21" i="28" s="1"/>
  <c r="L21" i="28" s="1"/>
  <c r="I21" i="28"/>
  <c r="G22" i="28"/>
  <c r="H22" i="28"/>
  <c r="I22" i="28"/>
  <c r="G23" i="28"/>
  <c r="H23" i="28"/>
  <c r="I23" i="28"/>
  <c r="G24" i="28"/>
  <c r="J24" i="28" s="1"/>
  <c r="K24" i="28" s="1"/>
  <c r="L24" i="28" s="1"/>
  <c r="H24" i="28"/>
  <c r="I24" i="28"/>
  <c r="G25" i="28"/>
  <c r="H25" i="28"/>
  <c r="I25" i="28"/>
  <c r="G26" i="28"/>
  <c r="H26" i="28"/>
  <c r="I26" i="28"/>
  <c r="G27" i="28"/>
  <c r="H27" i="28"/>
  <c r="J27" i="28" s="1"/>
  <c r="K27" i="28" s="1"/>
  <c r="L27" i="28" s="1"/>
  <c r="I27" i="28"/>
  <c r="G28" i="28"/>
  <c r="H28" i="28"/>
  <c r="I28" i="28"/>
  <c r="G4" i="28"/>
  <c r="H4" i="28"/>
  <c r="J4" i="28" s="1"/>
  <c r="K4" i="28" s="1"/>
  <c r="I4" i="28"/>
  <c r="G5" i="28"/>
  <c r="H5" i="28"/>
  <c r="I5" i="28"/>
  <c r="G6" i="28"/>
  <c r="H6" i="28"/>
  <c r="I6" i="28"/>
  <c r="G7" i="28"/>
  <c r="J7" i="28" s="1"/>
  <c r="K7" i="28" s="1"/>
  <c r="H7" i="28"/>
  <c r="I7" i="28"/>
  <c r="G8" i="28"/>
  <c r="H8" i="28"/>
  <c r="J8" i="28" s="1"/>
  <c r="K8" i="28" s="1"/>
  <c r="I8" i="28"/>
  <c r="G9" i="28"/>
  <c r="J9" i="28" s="1"/>
  <c r="K9" i="28" s="1"/>
  <c r="H9" i="28"/>
  <c r="I9" i="28"/>
  <c r="G10" i="28"/>
  <c r="J10" i="28" s="1"/>
  <c r="K10" i="28" s="1"/>
  <c r="H10" i="28"/>
  <c r="I10" i="28"/>
  <c r="G11" i="28"/>
  <c r="J11" i="28" s="1"/>
  <c r="K11" i="28" s="1"/>
  <c r="H11" i="28"/>
  <c r="I11" i="28"/>
  <c r="G12" i="28"/>
  <c r="H12" i="28"/>
  <c r="I12" i="28"/>
  <c r="G13" i="28"/>
  <c r="H13" i="28"/>
  <c r="I13" i="28"/>
  <c r="G14" i="28"/>
  <c r="H14" i="28"/>
  <c r="I14" i="28"/>
  <c r="G15" i="28"/>
  <c r="J15" i="28" s="1"/>
  <c r="K15" i="28" s="1"/>
  <c r="H15" i="28"/>
  <c r="I15" i="28"/>
  <c r="G16" i="28"/>
  <c r="H16" i="28"/>
  <c r="J16" i="28" s="1"/>
  <c r="K16" i="28" s="1"/>
  <c r="I16" i="28"/>
  <c r="G17" i="28"/>
  <c r="J17" i="28" s="1"/>
  <c r="K17" i="28" s="1"/>
  <c r="H17" i="28"/>
  <c r="I17" i="28"/>
  <c r="G18" i="28"/>
  <c r="J18" i="28" s="1"/>
  <c r="K18" i="28" s="1"/>
  <c r="L18" i="28" s="1"/>
  <c r="H18" i="28"/>
  <c r="I18" i="28"/>
  <c r="H3" i="28"/>
  <c r="I3" i="28"/>
  <c r="G3" i="28"/>
  <c r="D3" i="18"/>
  <c r="F29" i="11"/>
  <c r="F28" i="11" s="1"/>
  <c r="F27" i="11"/>
  <c r="G27" i="11" s="1"/>
  <c r="H27" i="11" s="1"/>
  <c r="I27" i="11" s="1"/>
  <c r="J27" i="11" s="1"/>
  <c r="K27" i="11" s="1"/>
  <c r="L27" i="11" s="1"/>
  <c r="M27" i="11" s="1"/>
  <c r="N27" i="11" s="1"/>
  <c r="O27" i="11" s="1"/>
  <c r="P27" i="11" s="1"/>
  <c r="Q27" i="11" s="1"/>
  <c r="F26" i="11"/>
  <c r="G26" i="11" s="1"/>
  <c r="H26" i="11" s="1"/>
  <c r="I26" i="11" s="1"/>
  <c r="J26" i="11" s="1"/>
  <c r="K26" i="11" s="1"/>
  <c r="L26" i="11" s="1"/>
  <c r="M26" i="11" s="1"/>
  <c r="N26" i="11" s="1"/>
  <c r="O26" i="11" s="1"/>
  <c r="P26" i="11" s="1"/>
  <c r="Q26" i="11" s="1"/>
  <c r="F12" i="10"/>
  <c r="E12" i="10"/>
  <c r="G10" i="10"/>
  <c r="F10" i="10"/>
  <c r="E10" i="10"/>
  <c r="R11" i="28" l="1"/>
  <c r="R23" i="28"/>
  <c r="P42" i="28"/>
  <c r="R42" i="28" s="1"/>
  <c r="P49" i="28"/>
  <c r="R49" i="28" s="1"/>
  <c r="P64" i="28"/>
  <c r="R64" i="28" s="1"/>
  <c r="P56" i="28"/>
  <c r="R56" i="28" s="1"/>
  <c r="P48" i="28"/>
  <c r="R48" i="28" s="1"/>
  <c r="P40" i="28"/>
  <c r="R40" i="28" s="1"/>
  <c r="P32" i="28"/>
  <c r="R32" i="28" s="1"/>
  <c r="P24" i="28"/>
  <c r="R24" i="28" s="1"/>
  <c r="P16" i="28"/>
  <c r="R16" i="28" s="1"/>
  <c r="P8" i="28"/>
  <c r="R8" i="28" s="1"/>
  <c r="P26" i="28"/>
  <c r="R26" i="28" s="1"/>
  <c r="P17" i="28"/>
  <c r="R17" i="28" s="1"/>
  <c r="P63" i="28"/>
  <c r="R63" i="28" s="1"/>
  <c r="P55" i="28"/>
  <c r="R55" i="28" s="1"/>
  <c r="P47" i="28"/>
  <c r="R47" i="28" s="1"/>
  <c r="P39" i="28"/>
  <c r="R39" i="28" s="1"/>
  <c r="P31" i="28"/>
  <c r="R31" i="28" s="1"/>
  <c r="P23" i="28"/>
  <c r="P15" i="28"/>
  <c r="R15" i="28" s="1"/>
  <c r="P7" i="28"/>
  <c r="R7" i="28" s="1"/>
  <c r="P34" i="28"/>
  <c r="R34" i="28" s="1"/>
  <c r="P33" i="28"/>
  <c r="R33" i="28" s="1"/>
  <c r="P62" i="28"/>
  <c r="R62" i="28" s="1"/>
  <c r="P54" i="28"/>
  <c r="R54" i="28" s="1"/>
  <c r="P46" i="28"/>
  <c r="R46" i="28" s="1"/>
  <c r="P38" i="28"/>
  <c r="R38" i="28" s="1"/>
  <c r="P30" i="28"/>
  <c r="R30" i="28" s="1"/>
  <c r="P22" i="28"/>
  <c r="R22" i="28" s="1"/>
  <c r="P14" i="28"/>
  <c r="R14" i="28" s="1"/>
  <c r="P6" i="28"/>
  <c r="P18" i="28"/>
  <c r="R18" i="28" s="1"/>
  <c r="P57" i="28"/>
  <c r="R57" i="28" s="1"/>
  <c r="P9" i="28"/>
  <c r="R9" i="28" s="1"/>
  <c r="P61" i="28"/>
  <c r="R61" i="28" s="1"/>
  <c r="P53" i="28"/>
  <c r="R53" i="28" s="1"/>
  <c r="P45" i="28"/>
  <c r="R45" i="28" s="1"/>
  <c r="P37" i="28"/>
  <c r="R37" i="28" s="1"/>
  <c r="P29" i="28"/>
  <c r="R29" i="28" s="1"/>
  <c r="P21" i="28"/>
  <c r="R21" i="28" s="1"/>
  <c r="P13" i="28"/>
  <c r="R13" i="28" s="1"/>
  <c r="P50" i="28"/>
  <c r="R50" i="28" s="1"/>
  <c r="P65" i="28"/>
  <c r="R65" i="28" s="1"/>
  <c r="P41" i="28"/>
  <c r="R41" i="28" s="1"/>
  <c r="P60" i="28"/>
  <c r="R60" i="28" s="1"/>
  <c r="P52" i="28"/>
  <c r="R52" i="28" s="1"/>
  <c r="P44" i="28"/>
  <c r="R44" i="28" s="1"/>
  <c r="P36" i="28"/>
  <c r="R36" i="28" s="1"/>
  <c r="P28" i="28"/>
  <c r="R28" i="28" s="1"/>
  <c r="P20" i="28"/>
  <c r="R20" i="28" s="1"/>
  <c r="P12" i="28"/>
  <c r="R12" i="28" s="1"/>
  <c r="P58" i="28"/>
  <c r="R58" i="28" s="1"/>
  <c r="P10" i="28"/>
  <c r="R10" i="28" s="1"/>
  <c r="P25" i="28"/>
  <c r="R25" i="28" s="1"/>
  <c r="P59" i="28"/>
  <c r="R59" i="28" s="1"/>
  <c r="P51" i="28"/>
  <c r="R51" i="28" s="1"/>
  <c r="P43" i="28"/>
  <c r="R43" i="28" s="1"/>
  <c r="P35" i="28"/>
  <c r="R35" i="28" s="1"/>
  <c r="P27" i="28"/>
  <c r="R27" i="28" s="1"/>
  <c r="P19" i="28"/>
  <c r="R19" i="28" s="1"/>
  <c r="J26" i="28"/>
  <c r="K26" i="28" s="1"/>
  <c r="L26" i="28" s="1"/>
  <c r="J58" i="28"/>
  <c r="K58" i="28" s="1"/>
  <c r="L58" i="28" s="1"/>
  <c r="J28" i="28"/>
  <c r="K28" i="28" s="1"/>
  <c r="L28" i="28" s="1"/>
  <c r="J25" i="28"/>
  <c r="K25" i="28" s="1"/>
  <c r="L25" i="28" s="1"/>
  <c r="J23" i="28"/>
  <c r="K23" i="28" s="1"/>
  <c r="L23" i="28" s="1"/>
  <c r="J39" i="28"/>
  <c r="K39" i="28" s="1"/>
  <c r="L39" i="28" s="1"/>
  <c r="J61" i="28"/>
  <c r="K61" i="28" s="1"/>
  <c r="L61" i="28" s="1"/>
  <c r="J12" i="28"/>
  <c r="K12" i="28" s="1"/>
  <c r="J14" i="28"/>
  <c r="K14" i="28" s="1"/>
  <c r="J6" i="28"/>
  <c r="K6" i="28" s="1"/>
  <c r="J36" i="28"/>
  <c r="K36" i="28" s="1"/>
  <c r="L36" i="28" s="1"/>
  <c r="J13" i="28"/>
  <c r="K13" i="28" s="1"/>
  <c r="J5" i="28"/>
  <c r="K5" i="28" s="1"/>
  <c r="J59" i="28"/>
  <c r="K59" i="28" s="1"/>
  <c r="L59" i="28" s="1"/>
  <c r="J51" i="28"/>
  <c r="K51" i="28" s="1"/>
  <c r="L51" i="28" s="1"/>
  <c r="J22" i="28"/>
  <c r="K22" i="28" s="1"/>
  <c r="L22" i="28" s="1"/>
  <c r="J19" i="28"/>
  <c r="K19" i="28" s="1"/>
  <c r="L19" i="28" s="1"/>
  <c r="J44" i="28"/>
  <c r="K44" i="28" s="1"/>
  <c r="L44" i="28" s="1"/>
  <c r="J55" i="28"/>
  <c r="K55" i="28" s="1"/>
  <c r="L55" i="28" s="1"/>
  <c r="J63" i="28"/>
  <c r="K63" i="28" s="1"/>
  <c r="L63" i="28" s="1"/>
  <c r="J38" i="28"/>
  <c r="K38" i="28" s="1"/>
  <c r="L38" i="28" s="1"/>
  <c r="J65" i="28"/>
  <c r="K65" i="28" s="1"/>
  <c r="L65" i="28" s="1"/>
  <c r="J35" i="28"/>
  <c r="K35" i="28" s="1"/>
  <c r="L35" i="28" s="1"/>
  <c r="J62" i="28"/>
  <c r="K62" i="28" s="1"/>
  <c r="L62" i="28" s="1"/>
  <c r="J57" i="28"/>
  <c r="K57" i="28" s="1"/>
  <c r="L57" i="28" s="1"/>
  <c r="J37" i="28"/>
  <c r="K37" i="28" s="1"/>
  <c r="L37" i="28" s="1"/>
  <c r="J53" i="28"/>
  <c r="K53" i="28" s="1"/>
  <c r="L53" i="28" s="1"/>
  <c r="J20" i="28"/>
  <c r="K20" i="28" s="1"/>
  <c r="L20" i="28" s="1"/>
  <c r="J45" i="28"/>
  <c r="K45" i="28" s="1"/>
  <c r="L45" i="28" s="1"/>
  <c r="J41" i="28"/>
  <c r="K41" i="28" s="1"/>
  <c r="L41" i="28" s="1"/>
  <c r="J43" i="28"/>
  <c r="K43" i="28" s="1"/>
  <c r="L43" i="28" s="1"/>
  <c r="J47" i="28"/>
  <c r="K47" i="28" s="1"/>
  <c r="L47" i="28" s="1"/>
  <c r="J3" i="28"/>
  <c r="K3" i="28" s="1"/>
  <c r="J52" i="28"/>
  <c r="K52" i="28" s="1"/>
  <c r="L52" i="28" s="1"/>
  <c r="G29" i="11"/>
  <c r="F49" i="11"/>
  <c r="E34" i="28"/>
  <c r="E22" i="25"/>
  <c r="E9" i="25"/>
  <c r="E8" i="25"/>
  <c r="E7" i="25"/>
  <c r="E10" i="25" s="1"/>
  <c r="E16" i="25" s="1"/>
  <c r="E23" i="25" s="1"/>
  <c r="E16" i="24"/>
  <c r="E22" i="24"/>
  <c r="E22" i="23"/>
  <c r="E9" i="23"/>
  <c r="C8" i="23"/>
  <c r="E8" i="23" s="1"/>
  <c r="D7" i="23"/>
  <c r="E7" i="23" s="1"/>
  <c r="E33" i="28" l="1"/>
  <c r="I34" i="28"/>
  <c r="J34" i="28" s="1"/>
  <c r="K34" i="28" s="1"/>
  <c r="L34" i="28" s="1"/>
  <c r="H29" i="11"/>
  <c r="G28" i="11"/>
  <c r="E23" i="24"/>
  <c r="E10" i="23"/>
  <c r="E16" i="23" s="1"/>
  <c r="E23" i="23" s="1"/>
  <c r="E32" i="28" l="1"/>
  <c r="I33" i="28"/>
  <c r="J33" i="28" s="1"/>
  <c r="K33" i="28" s="1"/>
  <c r="L33" i="28" s="1"/>
  <c r="I29" i="11"/>
  <c r="H28" i="11"/>
  <c r="D26" i="11"/>
  <c r="E31" i="28" l="1"/>
  <c r="I32" i="28"/>
  <c r="J32" i="28" s="1"/>
  <c r="K32" i="28" s="1"/>
  <c r="L32" i="28" s="1"/>
  <c r="I28" i="11"/>
  <c r="J29" i="11"/>
  <c r="D71" i="11"/>
  <c r="D12" i="11"/>
  <c r="D72" i="11"/>
  <c r="D51" i="11"/>
  <c r="D31" i="11"/>
  <c r="D11" i="11"/>
  <c r="D67" i="11"/>
  <c r="D46" i="11"/>
  <c r="D47" i="11"/>
  <c r="D66" i="11"/>
  <c r="D78" i="11" s="1"/>
  <c r="D52" i="11"/>
  <c r="D32" i="11"/>
  <c r="D49" i="11"/>
  <c r="D69" i="11"/>
  <c r="D29" i="11"/>
  <c r="D28" i="11" s="1"/>
  <c r="D27" i="11"/>
  <c r="D9" i="11"/>
  <c r="D11" i="21"/>
  <c r="D10" i="21"/>
  <c r="B3" i="21"/>
  <c r="D5" i="21"/>
  <c r="D6" i="21"/>
  <c r="D7" i="21"/>
  <c r="D8" i="21"/>
  <c r="D9" i="21"/>
  <c r="D4" i="21"/>
  <c r="D7" i="11"/>
  <c r="D4" i="5"/>
  <c r="M66" i="14"/>
  <c r="E66" i="14"/>
  <c r="E14" i="10"/>
  <c r="F14" i="10" s="1"/>
  <c r="G14" i="10" s="1"/>
  <c r="H14" i="10" s="1"/>
  <c r="I14" i="10" s="1"/>
  <c r="J14" i="10" s="1"/>
  <c r="K14" i="10" s="1"/>
  <c r="L14" i="10" s="1"/>
  <c r="M14" i="10" s="1"/>
  <c r="H10" i="10"/>
  <c r="I10" i="10" s="1"/>
  <c r="J10" i="10" s="1"/>
  <c r="K10" i="10" s="1"/>
  <c r="L10" i="10" s="1"/>
  <c r="M10" i="10" s="1"/>
  <c r="D12" i="10"/>
  <c r="G12" i="10" s="1"/>
  <c r="H12" i="10" s="1"/>
  <c r="I12" i="10" s="1"/>
  <c r="J12" i="10" s="1"/>
  <c r="K12" i="10" s="1"/>
  <c r="L12" i="10" s="1"/>
  <c r="M12" i="10" s="1"/>
  <c r="E30" i="28" l="1"/>
  <c r="I31" i="28"/>
  <c r="J31" i="28" s="1"/>
  <c r="K31" i="28" s="1"/>
  <c r="L31" i="28" s="1"/>
  <c r="J28" i="11"/>
  <c r="K29" i="11"/>
  <c r="C14" i="5"/>
  <c r="C11" i="5"/>
  <c r="C9" i="5"/>
  <c r="C15" i="5"/>
  <c r="C6" i="5"/>
  <c r="C10" i="5"/>
  <c r="C8" i="5"/>
  <c r="C16" i="5"/>
  <c r="C7" i="5"/>
  <c r="C5" i="5"/>
  <c r="C13" i="5"/>
  <c r="D11" i="18"/>
  <c r="D10" i="11"/>
  <c r="D10" i="18"/>
  <c r="D70" i="11"/>
  <c r="D50" i="11"/>
  <c r="D30" i="11"/>
  <c r="D79" i="11"/>
  <c r="D77" i="11" s="1"/>
  <c r="H4" i="14"/>
  <c r="M11" i="14" s="1"/>
  <c r="P29" i="14"/>
  <c r="M15" i="10"/>
  <c r="L15" i="10"/>
  <c r="K15" i="10"/>
  <c r="J15" i="10"/>
  <c r="I15" i="10"/>
  <c r="E16" i="10"/>
  <c r="F16" i="10" s="1"/>
  <c r="G16" i="10" s="1"/>
  <c r="H16" i="10" s="1"/>
  <c r="I16" i="10" s="1"/>
  <c r="J16" i="10" s="1"/>
  <c r="K16" i="10" s="1"/>
  <c r="L16" i="10" s="1"/>
  <c r="M16" i="10" s="1"/>
  <c r="H15" i="10"/>
  <c r="G15" i="10"/>
  <c r="F15" i="10"/>
  <c r="E15" i="10"/>
  <c r="D15" i="10"/>
  <c r="M13" i="10"/>
  <c r="L13" i="10"/>
  <c r="K13" i="10"/>
  <c r="J13" i="10"/>
  <c r="I13" i="10"/>
  <c r="H13" i="10"/>
  <c r="G13" i="10"/>
  <c r="F13" i="10"/>
  <c r="E13" i="10"/>
  <c r="D13" i="10"/>
  <c r="K11" i="10"/>
  <c r="L11" i="10"/>
  <c r="M11" i="10"/>
  <c r="J11" i="10"/>
  <c r="I11" i="10"/>
  <c r="H11" i="10"/>
  <c r="G11" i="10"/>
  <c r="F11" i="10"/>
  <c r="E11" i="10"/>
  <c r="D11" i="10"/>
  <c r="M9" i="10"/>
  <c r="L9" i="10"/>
  <c r="K9" i="10"/>
  <c r="J9" i="10"/>
  <c r="I9" i="10"/>
  <c r="H9" i="10"/>
  <c r="G9" i="10"/>
  <c r="F9" i="10"/>
  <c r="E9" i="10"/>
  <c r="D9" i="10"/>
  <c r="F69" i="11"/>
  <c r="G69" i="11" s="1"/>
  <c r="G49" i="11"/>
  <c r="E29" i="28" l="1"/>
  <c r="I29" i="28" s="1"/>
  <c r="J29" i="28" s="1"/>
  <c r="K29" i="28" s="1"/>
  <c r="L29" i="28" s="1"/>
  <c r="I30" i="28"/>
  <c r="J30" i="28" s="1"/>
  <c r="K30" i="28" s="1"/>
  <c r="L30" i="28" s="1"/>
  <c r="L29" i="11"/>
  <c r="K28" i="11"/>
  <c r="M8" i="10"/>
  <c r="E8" i="10"/>
  <c r="F68" i="11"/>
  <c r="E11" i="14"/>
  <c r="D8" i="10"/>
  <c r="F8" i="10"/>
  <c r="G8" i="10"/>
  <c r="H8" i="10"/>
  <c r="I8" i="10"/>
  <c r="L8" i="10"/>
  <c r="J8" i="10"/>
  <c r="K8" i="10"/>
  <c r="H69" i="11"/>
  <c r="G68" i="11"/>
  <c r="H49" i="11"/>
  <c r="G48" i="11"/>
  <c r="F48" i="11"/>
  <c r="M29" i="11" l="1"/>
  <c r="L28" i="11"/>
  <c r="I69" i="11"/>
  <c r="H68" i="11"/>
  <c r="I49" i="11"/>
  <c r="H48" i="11"/>
  <c r="M28" i="11" l="1"/>
  <c r="N29" i="11"/>
  <c r="I68" i="11"/>
  <c r="J69" i="11"/>
  <c r="I48" i="11"/>
  <c r="J49" i="11"/>
  <c r="N28" i="11" l="1"/>
  <c r="O29" i="11"/>
  <c r="K69" i="11"/>
  <c r="J68" i="11"/>
  <c r="J48" i="11"/>
  <c r="K49" i="11"/>
  <c r="P29" i="11" l="1"/>
  <c r="O28" i="11"/>
  <c r="L69" i="11"/>
  <c r="K68" i="11"/>
  <c r="L49" i="11"/>
  <c r="K48" i="11"/>
  <c r="Q29" i="11" l="1"/>
  <c r="Q28" i="11" s="1"/>
  <c r="P28" i="11"/>
  <c r="M69" i="11"/>
  <c r="L68" i="11"/>
  <c r="M49" i="11"/>
  <c r="L48" i="11"/>
  <c r="M68" i="11" l="1"/>
  <c r="N69" i="11"/>
  <c r="M48" i="11"/>
  <c r="N49" i="11"/>
  <c r="O69" i="11" l="1"/>
  <c r="N68" i="11"/>
  <c r="O49" i="11"/>
  <c r="N48" i="11"/>
  <c r="P69" i="11" l="1"/>
  <c r="O68" i="11"/>
  <c r="P49" i="11"/>
  <c r="O48" i="11"/>
  <c r="Q69" i="11" l="1"/>
  <c r="Q68" i="11" s="1"/>
  <c r="P68" i="11"/>
  <c r="Q49" i="11"/>
  <c r="Q48" i="11" s="1"/>
  <c r="P48" i="11"/>
  <c r="E10" i="18" l="1"/>
  <c r="D8" i="18"/>
  <c r="F66" i="11"/>
  <c r="F67" i="11"/>
  <c r="G67" i="11" s="1"/>
  <c r="H67" i="11" s="1"/>
  <c r="I67" i="11" s="1"/>
  <c r="J67" i="11" s="1"/>
  <c r="K67" i="11" s="1"/>
  <c r="L67" i="11" s="1"/>
  <c r="M67" i="11" s="1"/>
  <c r="N67" i="11" s="1"/>
  <c r="O67" i="11" s="1"/>
  <c r="P67" i="11" s="1"/>
  <c r="Q67" i="11" s="1"/>
  <c r="M31" i="14"/>
  <c r="E31" i="14"/>
  <c r="F47" i="11"/>
  <c r="G47" i="11" s="1"/>
  <c r="H47" i="11" s="1"/>
  <c r="I47" i="11" s="1"/>
  <c r="J47" i="11" s="1"/>
  <c r="K47" i="11" s="1"/>
  <c r="L47" i="11" s="1"/>
  <c r="M47" i="11" s="1"/>
  <c r="N47" i="11" s="1"/>
  <c r="O47" i="11" s="1"/>
  <c r="P47" i="11" s="1"/>
  <c r="Q47" i="11" s="1"/>
  <c r="D6" i="11"/>
  <c r="D42" i="10"/>
  <c r="E42" i="10" s="1"/>
  <c r="F42" i="10" s="1"/>
  <c r="G42" i="10" s="1"/>
  <c r="H42" i="10" s="1"/>
  <c r="I42" i="10" s="1"/>
  <c r="J42" i="10" s="1"/>
  <c r="K42" i="10" s="1"/>
  <c r="L42" i="10" s="1"/>
  <c r="M42" i="10" s="1"/>
  <c r="D5" i="18" l="1"/>
  <c r="D27" i="10" s="1"/>
  <c r="D6" i="18"/>
  <c r="D25" i="11"/>
  <c r="G66" i="11"/>
  <c r="F65" i="11"/>
  <c r="D45" i="11"/>
  <c r="F46" i="11"/>
  <c r="D9" i="18"/>
  <c r="D65" i="11"/>
  <c r="F10" i="18"/>
  <c r="E11" i="18"/>
  <c r="F11" i="18" s="1"/>
  <c r="G11" i="18" s="1"/>
  <c r="H11" i="18" s="1"/>
  <c r="I11" i="18" s="1"/>
  <c r="J11" i="18" s="1"/>
  <c r="K11" i="18" s="1"/>
  <c r="L11" i="18" s="1"/>
  <c r="M11" i="18" s="1"/>
  <c r="N11" i="18" s="1"/>
  <c r="O11" i="18" s="1"/>
  <c r="P11" i="18" s="1"/>
  <c r="D68" i="11"/>
  <c r="D48" i="11"/>
  <c r="F6" i="11"/>
  <c r="D5" i="11"/>
  <c r="D3" i="5"/>
  <c r="D12" i="5"/>
  <c r="M63" i="14"/>
  <c r="E63" i="14"/>
  <c r="D29" i="10" l="1"/>
  <c r="D4" i="18"/>
  <c r="H66" i="11"/>
  <c r="G65" i="11"/>
  <c r="G46" i="11"/>
  <c r="F45" i="11"/>
  <c r="F25" i="11"/>
  <c r="G6" i="11"/>
  <c r="E6" i="18"/>
  <c r="G10" i="18"/>
  <c r="F9" i="18"/>
  <c r="F29" i="10" s="1"/>
  <c r="E9" i="18"/>
  <c r="E29" i="10" s="1"/>
  <c r="D7" i="18"/>
  <c r="D28" i="10" s="1"/>
  <c r="F5" i="11"/>
  <c r="E5" i="18" s="1"/>
  <c r="D2" i="5"/>
  <c r="D19" i="5" s="1"/>
  <c r="C17" i="5" s="1"/>
  <c r="D74" i="11" l="1"/>
  <c r="D14" i="11"/>
  <c r="D54" i="11"/>
  <c r="D34" i="11"/>
  <c r="H6" i="11"/>
  <c r="F6" i="18"/>
  <c r="G25" i="11"/>
  <c r="H46" i="11"/>
  <c r="G45" i="11"/>
  <c r="E27" i="10"/>
  <c r="E4" i="18"/>
  <c r="H65" i="11"/>
  <c r="I66" i="11"/>
  <c r="H10" i="18"/>
  <c r="G9" i="18"/>
  <c r="G29" i="10" s="1"/>
  <c r="G5" i="11"/>
  <c r="F5" i="18" s="1"/>
  <c r="F4" i="11"/>
  <c r="D56" i="11" l="1"/>
  <c r="D55" i="11"/>
  <c r="D53" i="11" s="1"/>
  <c r="D44" i="11" s="1"/>
  <c r="D16" i="11"/>
  <c r="D13" i="18"/>
  <c r="D15" i="11"/>
  <c r="D35" i="11"/>
  <c r="D36" i="11"/>
  <c r="D76" i="11"/>
  <c r="D75" i="11"/>
  <c r="H45" i="11"/>
  <c r="I46" i="11"/>
  <c r="F27" i="10"/>
  <c r="F4" i="18"/>
  <c r="H25" i="11"/>
  <c r="I65" i="11"/>
  <c r="J66" i="11"/>
  <c r="I6" i="11"/>
  <c r="G6" i="18"/>
  <c r="H9" i="18"/>
  <c r="H29" i="10" s="1"/>
  <c r="I10" i="18"/>
  <c r="H5" i="11"/>
  <c r="G5" i="18" s="1"/>
  <c r="G4" i="11"/>
  <c r="D15" i="18" l="1"/>
  <c r="D33" i="11"/>
  <c r="D24" i="11" s="1"/>
  <c r="D38" i="11" s="1"/>
  <c r="D73" i="11"/>
  <c r="D64" i="11" s="1"/>
  <c r="D59" i="11"/>
  <c r="D58" i="11"/>
  <c r="D39" i="11"/>
  <c r="D13" i="11"/>
  <c r="D14" i="18"/>
  <c r="J6" i="11"/>
  <c r="H6" i="18"/>
  <c r="G27" i="10"/>
  <c r="G4" i="18"/>
  <c r="K66" i="11"/>
  <c r="J65" i="11"/>
  <c r="I45" i="11"/>
  <c r="J46" i="11"/>
  <c r="I25" i="11"/>
  <c r="I9" i="18"/>
  <c r="I29" i="10" s="1"/>
  <c r="J10" i="18"/>
  <c r="I5" i="11"/>
  <c r="H5" i="18" s="1"/>
  <c r="H4" i="11"/>
  <c r="G22" i="6"/>
  <c r="H22" i="6" s="1"/>
  <c r="D80" i="11" l="1"/>
  <c r="E80" i="11" s="1"/>
  <c r="D37" i="11"/>
  <c r="D40" i="11" s="1"/>
  <c r="D57" i="11"/>
  <c r="K6" i="11"/>
  <c r="I6" i="18"/>
  <c r="J25" i="11"/>
  <c r="J45" i="11"/>
  <c r="K46" i="11"/>
  <c r="L66" i="11"/>
  <c r="K65" i="11"/>
  <c r="H27" i="10"/>
  <c r="H4" i="18"/>
  <c r="K10" i="18"/>
  <c r="J9" i="18"/>
  <c r="J29" i="10" s="1"/>
  <c r="J5" i="11"/>
  <c r="I5" i="18" s="1"/>
  <c r="I4" i="11"/>
  <c r="E4" i="9"/>
  <c r="E5" i="9" s="1"/>
  <c r="D20" i="10" s="1"/>
  <c r="F4" i="9"/>
  <c r="G4" i="9"/>
  <c r="E41" i="11" l="1"/>
  <c r="D60" i="11"/>
  <c r="E60" i="11" s="1"/>
  <c r="M66" i="11"/>
  <c r="L65" i="11"/>
  <c r="I27" i="10"/>
  <c r="I4" i="18"/>
  <c r="K45" i="11"/>
  <c r="L46" i="11"/>
  <c r="K25" i="11"/>
  <c r="L6" i="11"/>
  <c r="J6" i="18"/>
  <c r="L10" i="18"/>
  <c r="K9" i="18"/>
  <c r="K29" i="10" s="1"/>
  <c r="K5" i="11"/>
  <c r="J5" i="18" s="1"/>
  <c r="J4" i="11"/>
  <c r="F8" i="11"/>
  <c r="E8" i="18" s="1"/>
  <c r="E7" i="18" s="1"/>
  <c r="E28" i="10" s="1"/>
  <c r="D8" i="11"/>
  <c r="J4" i="9"/>
  <c r="I4" i="9"/>
  <c r="H4" i="9"/>
  <c r="K4" i="9"/>
  <c r="L45" i="11" l="1"/>
  <c r="M46" i="11"/>
  <c r="L25" i="11"/>
  <c r="J27" i="10"/>
  <c r="J4" i="18"/>
  <c r="M6" i="11"/>
  <c r="K6" i="18"/>
  <c r="M65" i="11"/>
  <c r="N66" i="11"/>
  <c r="M10" i="18"/>
  <c r="L9" i="18"/>
  <c r="L29" i="10" s="1"/>
  <c r="F7" i="11"/>
  <c r="G8" i="11"/>
  <c r="F8" i="18" s="1"/>
  <c r="F7" i="18" s="1"/>
  <c r="F28" i="10" s="1"/>
  <c r="L5" i="11"/>
  <c r="K5" i="18" s="1"/>
  <c r="K4" i="11"/>
  <c r="L4" i="9"/>
  <c r="N6" i="11" l="1"/>
  <c r="L6" i="18"/>
  <c r="M25" i="11"/>
  <c r="O66" i="11"/>
  <c r="N65" i="11"/>
  <c r="M45" i="11"/>
  <c r="N46" i="11"/>
  <c r="K27" i="10"/>
  <c r="K4" i="18"/>
  <c r="M9" i="18"/>
  <c r="M29" i="10" s="1"/>
  <c r="N10" i="18"/>
  <c r="M5" i="11"/>
  <c r="L5" i="18" s="1"/>
  <c r="L4" i="11"/>
  <c r="H8" i="11"/>
  <c r="G8" i="18" s="1"/>
  <c r="G7" i="18" s="1"/>
  <c r="G28" i="10" s="1"/>
  <c r="G7" i="11"/>
  <c r="M4" i="9"/>
  <c r="O46" i="11" l="1"/>
  <c r="N45" i="11"/>
  <c r="O65" i="11"/>
  <c r="P66" i="11"/>
  <c r="L27" i="10"/>
  <c r="L4" i="18"/>
  <c r="N25" i="11"/>
  <c r="O6" i="11"/>
  <c r="M6" i="18"/>
  <c r="O10" i="18"/>
  <c r="N9" i="18"/>
  <c r="N5" i="11"/>
  <c r="M5" i="18" s="1"/>
  <c r="M4" i="11"/>
  <c r="I8" i="11"/>
  <c r="H8" i="18" s="1"/>
  <c r="H7" i="18" s="1"/>
  <c r="H28" i="10" s="1"/>
  <c r="H7" i="11"/>
  <c r="N4" i="9"/>
  <c r="K18" i="7"/>
  <c r="L18" i="7"/>
  <c r="M18" i="7"/>
  <c r="N32" i="7"/>
  <c r="O32" i="7"/>
  <c r="D4" i="6"/>
  <c r="F26" i="7" s="1"/>
  <c r="M9" i="7"/>
  <c r="O4" i="9" s="1"/>
  <c r="L9" i="7"/>
  <c r="K9" i="7"/>
  <c r="L5" i="9" s="1"/>
  <c r="K20" i="10" s="1"/>
  <c r="K11" i="7"/>
  <c r="L11" i="7" s="1"/>
  <c r="M11" i="7" s="1"/>
  <c r="M10" i="7"/>
  <c r="L10" i="7"/>
  <c r="K10" i="7"/>
  <c r="H5" i="9"/>
  <c r="G20" i="10" s="1"/>
  <c r="I5" i="9"/>
  <c r="H20" i="10" s="1"/>
  <c r="I9" i="7"/>
  <c r="H9" i="7"/>
  <c r="G9" i="7"/>
  <c r="F9" i="7"/>
  <c r="E9" i="7"/>
  <c r="F11" i="7"/>
  <c r="G11" i="7"/>
  <c r="H11" i="7" s="1"/>
  <c r="I11" i="7" s="1"/>
  <c r="J11" i="7" s="1"/>
  <c r="E11" i="7"/>
  <c r="J10" i="7"/>
  <c r="I10" i="7"/>
  <c r="H10" i="7"/>
  <c r="G10" i="7"/>
  <c r="F10" i="7"/>
  <c r="E10" i="7"/>
  <c r="D10" i="7"/>
  <c r="J9" i="7"/>
  <c r="D9" i="7"/>
  <c r="K5" i="9"/>
  <c r="J20" i="10" s="1"/>
  <c r="J5" i="9"/>
  <c r="I20" i="10" s="1"/>
  <c r="D40" i="7"/>
  <c r="E40" i="7" s="1"/>
  <c r="F40" i="7" s="1"/>
  <c r="G40" i="7" s="1"/>
  <c r="H40" i="7" s="1"/>
  <c r="I40" i="7" s="1"/>
  <c r="J40" i="7" s="1"/>
  <c r="F7" i="6"/>
  <c r="P6" i="11" l="1"/>
  <c r="N6" i="18"/>
  <c r="M27" i="10"/>
  <c r="M4" i="18"/>
  <c r="O25" i="11"/>
  <c r="Q66" i="11"/>
  <c r="Q65" i="11" s="1"/>
  <c r="P65" i="11"/>
  <c r="P46" i="11"/>
  <c r="O45" i="11"/>
  <c r="P10" i="18"/>
  <c r="O9" i="18"/>
  <c r="O5" i="11"/>
  <c r="N5" i="18" s="1"/>
  <c r="N4" i="11"/>
  <c r="J8" i="11"/>
  <c r="I8" i="18" s="1"/>
  <c r="I7" i="18" s="1"/>
  <c r="I28" i="10" s="1"/>
  <c r="I7" i="11"/>
  <c r="K14" i="7"/>
  <c r="J14" i="7"/>
  <c r="I14" i="7"/>
  <c r="G14" i="7"/>
  <c r="H14" i="7"/>
  <c r="H26" i="7"/>
  <c r="J26" i="7"/>
  <c r="G26" i="7"/>
  <c r="K26" i="7"/>
  <c r="D26" i="7"/>
  <c r="L26" i="7"/>
  <c r="E26" i="7"/>
  <c r="M26" i="7"/>
  <c r="D14" i="7"/>
  <c r="N5" i="9"/>
  <c r="M5" i="9"/>
  <c r="F4" i="6"/>
  <c r="I26" i="7" s="1"/>
  <c r="P9" i="18" l="1"/>
  <c r="N4" i="18"/>
  <c r="Q25" i="11"/>
  <c r="P25" i="11"/>
  <c r="Q46" i="11"/>
  <c r="Q45" i="11" s="1"/>
  <c r="P45" i="11"/>
  <c r="Q6" i="11"/>
  <c r="P6" i="18" s="1"/>
  <c r="O6" i="18"/>
  <c r="P5" i="11"/>
  <c r="O5" i="18" s="1"/>
  <c r="O4" i="11"/>
  <c r="K8" i="11"/>
  <c r="J8" i="18" s="1"/>
  <c r="J7" i="18" s="1"/>
  <c r="J28" i="10" s="1"/>
  <c r="J7" i="11"/>
  <c r="M14" i="7"/>
  <c r="M20" i="10"/>
  <c r="L14" i="7"/>
  <c r="L20" i="10"/>
  <c r="G18" i="7"/>
  <c r="H18" i="7"/>
  <c r="I18" i="7"/>
  <c r="J18" i="7"/>
  <c r="F18" i="7"/>
  <c r="D5" i="6"/>
  <c r="F23" i="6"/>
  <c r="O4" i="18" l="1"/>
  <c r="P4" i="11"/>
  <c r="Q5" i="11"/>
  <c r="L8" i="11"/>
  <c r="K8" i="18" s="1"/>
  <c r="K7" i="18" s="1"/>
  <c r="K28" i="10" s="1"/>
  <c r="K7" i="11"/>
  <c r="E18" i="7"/>
  <c r="D18" i="7"/>
  <c r="F5" i="6"/>
  <c r="D6" i="6"/>
  <c r="D10" i="6"/>
  <c r="Q4" i="11" l="1"/>
  <c r="P5" i="18"/>
  <c r="P4" i="18" s="1"/>
  <c r="M8" i="11"/>
  <c r="L8" i="18" s="1"/>
  <c r="L7" i="18" s="1"/>
  <c r="L28" i="10" s="1"/>
  <c r="L7" i="11"/>
  <c r="L27" i="7"/>
  <c r="K27" i="7"/>
  <c r="I27" i="7"/>
  <c r="J27" i="7"/>
  <c r="H27" i="7"/>
  <c r="M27" i="7"/>
  <c r="G27" i="7"/>
  <c r="E27" i="7"/>
  <c r="F27" i="7"/>
  <c r="D27" i="7"/>
  <c r="F10" i="6"/>
  <c r="F6" i="6"/>
  <c r="N8" i="11" l="1"/>
  <c r="M8" i="18" s="1"/>
  <c r="M7" i="18" s="1"/>
  <c r="M28" i="10" s="1"/>
  <c r="M7" i="11"/>
  <c r="F14" i="6"/>
  <c r="N7" i="11" l="1"/>
  <c r="O8" i="11"/>
  <c r="N8" i="18" s="1"/>
  <c r="N7" i="18" s="1"/>
  <c r="D8" i="6"/>
  <c r="F8" i="6" s="1"/>
  <c r="G8" i="6"/>
  <c r="C5" i="10"/>
  <c r="C7" i="7"/>
  <c r="D13" i="6"/>
  <c r="F13" i="6" s="1"/>
  <c r="P8" i="11" l="1"/>
  <c r="O8" i="18" s="1"/>
  <c r="O7" i="18" s="1"/>
  <c r="O7" i="11"/>
  <c r="D17" i="6"/>
  <c r="F17" i="6" s="1"/>
  <c r="D9" i="6"/>
  <c r="F9" i="6" s="1"/>
  <c r="D15" i="6"/>
  <c r="F15" i="6" s="1"/>
  <c r="C40" i="10"/>
  <c r="C4" i="10"/>
  <c r="Q8" i="11" l="1"/>
  <c r="P7" i="11"/>
  <c r="D36" i="10"/>
  <c r="E36" i="10" s="1"/>
  <c r="F36" i="10" s="1"/>
  <c r="G36" i="10" s="1"/>
  <c r="H36" i="10" s="1"/>
  <c r="I36" i="10" s="1"/>
  <c r="J36" i="10" s="1"/>
  <c r="K36" i="10" s="1"/>
  <c r="L36" i="10" s="1"/>
  <c r="M36" i="10" s="1"/>
  <c r="D12" i="6"/>
  <c r="F12" i="6" s="1"/>
  <c r="C44" i="10"/>
  <c r="C43" i="10"/>
  <c r="C22" i="7"/>
  <c r="C37" i="7" s="1"/>
  <c r="C18" i="7"/>
  <c r="Q7" i="11" l="1"/>
  <c r="P8" i="18"/>
  <c r="P7" i="18" s="1"/>
  <c r="C45" i="10"/>
  <c r="C38" i="7"/>
  <c r="G5" i="9" l="1"/>
  <c r="F5" i="9"/>
  <c r="F20" i="10" l="1"/>
  <c r="F14" i="7"/>
  <c r="E20" i="10"/>
  <c r="E14" i="7"/>
  <c r="D3" i="6"/>
  <c r="D2" i="6" s="1"/>
  <c r="D18" i="6" s="1"/>
  <c r="F11" i="6"/>
  <c r="D19" i="6" l="1"/>
  <c r="D25" i="7" l="1"/>
  <c r="F19" i="6"/>
  <c r="J28" i="7"/>
  <c r="J30" i="7" s="1"/>
  <c r="F18" i="6"/>
  <c r="H28" i="7"/>
  <c r="H30" i="7" s="1"/>
  <c r="K28" i="7"/>
  <c r="K30" i="7" s="1"/>
  <c r="M28" i="7"/>
  <c r="M30" i="7" s="1"/>
  <c r="I28" i="7"/>
  <c r="I30" i="7" s="1"/>
  <c r="D28" i="7"/>
  <c r="E28" i="7"/>
  <c r="E30" i="7" s="1"/>
  <c r="D16" i="6"/>
  <c r="G28" i="7"/>
  <c r="G30" i="7" s="1"/>
  <c r="L28" i="7"/>
  <c r="L30" i="7" s="1"/>
  <c r="F28" i="7"/>
  <c r="F30" i="7" s="1"/>
  <c r="I32" i="7" l="1"/>
  <c r="M32" i="7"/>
  <c r="G32" i="7"/>
  <c r="L32" i="7"/>
  <c r="F16" i="6"/>
  <c r="D20" i="6"/>
  <c r="G20" i="6" s="1"/>
  <c r="H20" i="6" s="1"/>
  <c r="J32" i="7"/>
  <c r="F32" i="7"/>
  <c r="E32" i="7"/>
  <c r="K32" i="7"/>
  <c r="H32" i="7"/>
  <c r="D30" i="7"/>
  <c r="E36" i="7" l="1"/>
  <c r="E37" i="7" s="1"/>
  <c r="E41" i="7" s="1"/>
  <c r="F36" i="7"/>
  <c r="F37" i="7" s="1"/>
  <c r="F41" i="7" s="1"/>
  <c r="H36" i="7"/>
  <c r="H37" i="7" s="1"/>
  <c r="H41" i="7" s="1"/>
  <c r="G36" i="7"/>
  <c r="G37" i="7" s="1"/>
  <c r="G41" i="7" s="1"/>
  <c r="D24" i="6"/>
  <c r="F20" i="6"/>
  <c r="I36" i="7"/>
  <c r="I37" i="7" s="1"/>
  <c r="I41" i="7" s="1"/>
  <c r="D32" i="7"/>
  <c r="J36" i="7"/>
  <c r="J37" i="7" s="1"/>
  <c r="J41" i="7" s="1"/>
  <c r="D36" i="7" l="1"/>
  <c r="D37" i="7" s="1"/>
  <c r="D38" i="7" l="1"/>
  <c r="E38" i="7" s="1"/>
  <c r="F38" i="7" s="1"/>
  <c r="C43" i="7"/>
  <c r="D41" i="7"/>
  <c r="C42" i="7" s="1"/>
  <c r="C44" i="7" l="1"/>
  <c r="G38" i="7"/>
  <c r="H38" i="7" s="1"/>
  <c r="I38" i="7" s="1"/>
  <c r="J38" i="7" s="1"/>
  <c r="D4" i="11" l="1"/>
  <c r="D18" i="11" l="1"/>
  <c r="D17" i="18" s="1"/>
  <c r="D19" i="11"/>
  <c r="D18" i="18" s="1"/>
  <c r="G30" i="10"/>
  <c r="F30" i="10"/>
  <c r="E30" i="10"/>
  <c r="H30" i="10"/>
  <c r="I30" i="10"/>
  <c r="J30" i="10"/>
  <c r="K30" i="10" s="1"/>
  <c r="L30" i="10" s="1"/>
  <c r="M30" i="10" s="1"/>
  <c r="D30" i="10"/>
  <c r="D17" i="11" l="1"/>
  <c r="G16" i="11" s="1"/>
  <c r="I31" i="10" l="1"/>
  <c r="I32" i="10" s="1"/>
  <c r="I34" i="10" s="1"/>
  <c r="I38" i="10" s="1"/>
  <c r="I40" i="10" s="1"/>
  <c r="G31" i="10"/>
  <c r="G32" i="10" s="1"/>
  <c r="G34" i="10" s="1"/>
  <c r="E31" i="10"/>
  <c r="E32" i="10" s="1"/>
  <c r="E34" i="10" s="1"/>
  <c r="E38" i="10" s="1"/>
  <c r="E40" i="10" s="1"/>
  <c r="F31" i="10"/>
  <c r="F32" i="10" s="1"/>
  <c r="F34" i="10" s="1"/>
  <c r="F38" i="10" s="1"/>
  <c r="F40" i="10" s="1"/>
  <c r="D20" i="11"/>
  <c r="E21" i="11" s="1"/>
  <c r="J31" i="10"/>
  <c r="K31" i="10" s="1"/>
  <c r="L31" i="10" s="1"/>
  <c r="H31" i="10"/>
  <c r="H32" i="10" s="1"/>
  <c r="H34" i="10" s="1"/>
  <c r="H38" i="10" s="1"/>
  <c r="H40" i="10" s="1"/>
  <c r="H44" i="10" s="1"/>
  <c r="D31" i="10"/>
  <c r="D32" i="10" s="1"/>
  <c r="C28" i="10" s="1"/>
  <c r="G9" i="9" l="1"/>
  <c r="G14" i="9" s="1"/>
  <c r="G15" i="9" s="1"/>
  <c r="F16" i="7" s="1"/>
  <c r="H9" i="9"/>
  <c r="H10" i="9" s="1"/>
  <c r="G21" i="10" s="1"/>
  <c r="J32" i="10"/>
  <c r="K9" i="9" s="1"/>
  <c r="K10" i="9" s="1"/>
  <c r="I9" i="9"/>
  <c r="I10" i="9" s="1"/>
  <c r="H21" i="10" s="1"/>
  <c r="J9" i="9"/>
  <c r="J10" i="9" s="1"/>
  <c r="I21" i="10" s="1"/>
  <c r="C27" i="10"/>
  <c r="C31" i="10"/>
  <c r="K32" i="10"/>
  <c r="C30" i="10"/>
  <c r="C29" i="10"/>
  <c r="F9" i="9"/>
  <c r="F14" i="9" s="1"/>
  <c r="F15" i="9" s="1"/>
  <c r="E16" i="7" s="1"/>
  <c r="D34" i="10"/>
  <c r="D38" i="10" s="1"/>
  <c r="E9" i="9"/>
  <c r="E14" i="9" s="1"/>
  <c r="E15" i="9" s="1"/>
  <c r="H43" i="10"/>
  <c r="I44" i="10"/>
  <c r="I43" i="10"/>
  <c r="G38" i="10"/>
  <c r="G40" i="10" s="1"/>
  <c r="F43" i="10"/>
  <c r="F44" i="10"/>
  <c r="E44" i="10"/>
  <c r="E43" i="10"/>
  <c r="H14" i="9"/>
  <c r="H15" i="9" s="1"/>
  <c r="G22" i="10" s="1"/>
  <c r="G10" i="9"/>
  <c r="F21" i="10" s="1"/>
  <c r="G15" i="7"/>
  <c r="M31" i="10"/>
  <c r="M32" i="10" s="1"/>
  <c r="L32" i="10"/>
  <c r="I15" i="7" l="1"/>
  <c r="K14" i="9"/>
  <c r="K15" i="9" s="1"/>
  <c r="J16" i="7" s="1"/>
  <c r="L9" i="9"/>
  <c r="L10" i="9" s="1"/>
  <c r="J34" i="10"/>
  <c r="J38" i="10" s="1"/>
  <c r="J40" i="10" s="1"/>
  <c r="J43" i="10" s="1"/>
  <c r="H15" i="7"/>
  <c r="I14" i="9"/>
  <c r="I15" i="9" s="1"/>
  <c r="H22" i="10" s="1"/>
  <c r="H19" i="10" s="1"/>
  <c r="H24" i="10" s="1"/>
  <c r="F22" i="10"/>
  <c r="F19" i="10" s="1"/>
  <c r="F24" i="10" s="1"/>
  <c r="K34" i="10"/>
  <c r="K38" i="10" s="1"/>
  <c r="K40" i="10" s="1"/>
  <c r="J14" i="9"/>
  <c r="J15" i="9" s="1"/>
  <c r="I16" i="7" s="1"/>
  <c r="I13" i="7" s="1"/>
  <c r="F10" i="9"/>
  <c r="E15" i="7" s="1"/>
  <c r="E13" i="7" s="1"/>
  <c r="E10" i="9"/>
  <c r="D21" i="10" s="1"/>
  <c r="E22" i="10"/>
  <c r="D40" i="10"/>
  <c r="D45" i="10" s="1"/>
  <c r="D52" i="10" s="1"/>
  <c r="D53" i="10" s="1"/>
  <c r="H16" i="7"/>
  <c r="G43" i="10"/>
  <c r="G44" i="10"/>
  <c r="F15" i="7"/>
  <c r="F13" i="7" s="1"/>
  <c r="G16" i="7"/>
  <c r="G13" i="7" s="1"/>
  <c r="G19" i="10"/>
  <c r="G24" i="10" s="1"/>
  <c r="M34" i="10"/>
  <c r="N9" i="9"/>
  <c r="J21" i="10"/>
  <c r="J15" i="7"/>
  <c r="D16" i="7"/>
  <c r="D22" i="10"/>
  <c r="L34" i="10"/>
  <c r="M9" i="9"/>
  <c r="J22" i="10" l="1"/>
  <c r="J19" i="10" s="1"/>
  <c r="J24" i="10" s="1"/>
  <c r="L14" i="9"/>
  <c r="L15" i="9" s="1"/>
  <c r="K16" i="7" s="1"/>
  <c r="J44" i="10"/>
  <c r="I22" i="10"/>
  <c r="I19" i="10" s="1"/>
  <c r="I24" i="10" s="1"/>
  <c r="H13" i="7"/>
  <c r="D15" i="7"/>
  <c r="D13" i="7" s="1"/>
  <c r="D44" i="10"/>
  <c r="E21" i="10"/>
  <c r="E19" i="10" s="1"/>
  <c r="E24" i="10" s="1"/>
  <c r="D43" i="10"/>
  <c r="K43" i="10"/>
  <c r="K44" i="10"/>
  <c r="L38" i="10"/>
  <c r="L40" i="10" s="1"/>
  <c r="M38" i="10"/>
  <c r="M40" i="10" s="1"/>
  <c r="E45" i="10"/>
  <c r="E52" i="10" s="1"/>
  <c r="E53" i="10" s="1"/>
  <c r="D19" i="10"/>
  <c r="D24" i="10" s="1"/>
  <c r="J13" i="7"/>
  <c r="K21" i="10"/>
  <c r="K15" i="7"/>
  <c r="M10" i="9"/>
  <c r="M14" i="9"/>
  <c r="M15" i="9" s="1"/>
  <c r="N14" i="9"/>
  <c r="N15" i="9" s="1"/>
  <c r="N10" i="9"/>
  <c r="K22" i="10" l="1"/>
  <c r="C48" i="10"/>
  <c r="M44" i="10"/>
  <c r="M43" i="10"/>
  <c r="L44" i="10"/>
  <c r="L43" i="10"/>
  <c r="C49" i="10"/>
  <c r="F45" i="10"/>
  <c r="F52" i="10" s="1"/>
  <c r="F53" i="10" s="1"/>
  <c r="K19" i="10"/>
  <c r="K24" i="10" s="1"/>
  <c r="M15" i="7"/>
  <c r="M21" i="10"/>
  <c r="L16" i="7"/>
  <c r="L22" i="10"/>
  <c r="K13" i="7"/>
  <c r="M16" i="7"/>
  <c r="M22" i="10"/>
  <c r="L15" i="7"/>
  <c r="L21" i="10"/>
  <c r="G45" i="10" l="1"/>
  <c r="G52" i="10" s="1"/>
  <c r="G53" i="10" s="1"/>
  <c r="L19" i="10"/>
  <c r="L24" i="10" s="1"/>
  <c r="M19" i="10"/>
  <c r="M24" i="10" s="1"/>
  <c r="M13" i="7"/>
  <c r="L13" i="7"/>
  <c r="H45" i="10" l="1"/>
  <c r="H52" i="10" s="1"/>
  <c r="H53" i="10" s="1"/>
  <c r="I45" i="10" l="1"/>
  <c r="I52" i="10" s="1"/>
  <c r="I53" i="10" s="1"/>
  <c r="J45" i="10" l="1"/>
  <c r="J52" i="10" s="1"/>
  <c r="J53" i="10" s="1"/>
  <c r="K45" i="10" l="1"/>
  <c r="K52" i="10" s="1"/>
  <c r="K53" i="10" s="1"/>
  <c r="L45" i="10" l="1"/>
  <c r="L52" i="10" s="1"/>
  <c r="L53" i="10" s="1"/>
  <c r="M45" i="10" l="1"/>
  <c r="M52" i="10" s="1"/>
  <c r="M53" i="10" s="1"/>
  <c r="C50" i="10" s="1"/>
  <c r="D12" i="18" l="1"/>
  <c r="D16" i="18" l="1"/>
  <c r="D19" i="18"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Ritu Kamra</author>
  </authors>
  <commentList>
    <comment ref="C50" authorId="0" shapeId="0" xr:uid="{B8C938DB-A996-4F01-99B4-5B4C5E78987B}">
      <text>
        <r>
          <rPr>
            <b/>
            <sz val="9"/>
            <color indexed="81"/>
            <rFont val="Tahoma"/>
            <family val="2"/>
          </rPr>
          <t>Ritu Kamra:</t>
        </r>
        <r>
          <rPr>
            <sz val="9"/>
            <color indexed="81"/>
            <rFont val="Tahoma"/>
            <family val="2"/>
          </rPr>
          <t xml:space="preserve">
</t>
        </r>
      </text>
    </comment>
  </commentList>
</comments>
</file>

<file path=xl/sharedStrings.xml><?xml version="1.0" encoding="utf-8"?>
<sst xmlns="http://schemas.openxmlformats.org/spreadsheetml/2006/main" count="1540" uniqueCount="377">
  <si>
    <t xml:space="preserve">Unit Rate </t>
  </si>
  <si>
    <t>A</t>
  </si>
  <si>
    <t>B</t>
  </si>
  <si>
    <t>C</t>
  </si>
  <si>
    <t>D</t>
  </si>
  <si>
    <t xml:space="preserve">Raw Material </t>
  </si>
  <si>
    <t>Total</t>
  </si>
  <si>
    <t>Depriciation</t>
  </si>
  <si>
    <t>MAIN PROCESS EQUIPMENTS</t>
  </si>
  <si>
    <t>[USD]</t>
  </si>
  <si>
    <t>C1</t>
  </si>
  <si>
    <t>C2</t>
  </si>
  <si>
    <t>ITEM</t>
  </si>
  <si>
    <t>TOTAL FIXED-CAPITAL INVESTMENT</t>
  </si>
  <si>
    <t>A1</t>
  </si>
  <si>
    <t>TOTAL DIRECT PLANT COST</t>
  </si>
  <si>
    <t>Delivered main equipment (includes auxiliary equipment)</t>
  </si>
  <si>
    <t>A2</t>
  </si>
  <si>
    <t>TOTAL INDIRECT PLANT COST</t>
  </si>
  <si>
    <t>WORKING CAPITAL</t>
  </si>
  <si>
    <t>MANUFACTURING COST</t>
  </si>
  <si>
    <r>
      <t xml:space="preserve">C1 </t>
    </r>
    <r>
      <rPr>
        <sz val="9"/>
        <color theme="1"/>
        <rFont val="Arial Black"/>
        <family val="2"/>
      </rPr>
      <t xml:space="preserve">+ </t>
    </r>
    <r>
      <rPr>
        <b/>
        <sz val="9"/>
        <color theme="1"/>
        <rFont val="Palladio Uralic"/>
      </rPr>
      <t xml:space="preserve">C2 </t>
    </r>
    <r>
      <rPr>
        <sz val="9"/>
        <color theme="1"/>
        <rFont val="Arial Black"/>
        <family val="2"/>
      </rPr>
      <t xml:space="preserve">+ </t>
    </r>
    <r>
      <rPr>
        <b/>
        <sz val="9"/>
        <color theme="1"/>
        <rFont val="Palladio Uralic"/>
      </rPr>
      <t>C3</t>
    </r>
  </si>
  <si>
    <t>DIRECT PRODUCTION COSTS</t>
  </si>
  <si>
    <t>1 to 8</t>
  </si>
  <si>
    <t>Raw materials (calculated)</t>
  </si>
  <si>
    <t>-</t>
  </si>
  <si>
    <t>Operating labor (calculated)</t>
  </si>
  <si>
    <t>Direct supervisory and clerical labor (17.5% of operating labor)</t>
  </si>
  <si>
    <t>Utilities (calculated)</t>
  </si>
  <si>
    <t>Operating supplies (15% of cost for maintenance and repairs)</t>
  </si>
  <si>
    <t>Laboratory charges (15% of operating labor)</t>
  </si>
  <si>
    <t>Patents and royalties (4% of C1.1 to C1.7)</t>
  </si>
  <si>
    <t>INDIRECT PRODUCTION COSTS</t>
  </si>
  <si>
    <t>C3</t>
  </si>
  <si>
    <r>
      <t xml:space="preserve">PLANT-OVERHEAD COSTS (60%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</si>
  <si>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GENERAL EXPENSES</t>
  </si>
  <si>
    <t>14 to 16</t>
  </si>
  <si>
    <r>
      <t xml:space="preserve">Administrative costs (15% of 2 </t>
    </r>
    <r>
      <rPr>
        <sz val="9"/>
        <color theme="1"/>
        <rFont val="Arial Black"/>
        <family val="2"/>
      </rPr>
      <t xml:space="preserve">+ </t>
    </r>
    <r>
      <rPr>
        <sz val="9"/>
        <color theme="1"/>
        <rFont val="Palladio Uralic"/>
      </rPr>
      <t xml:space="preserve">3 </t>
    </r>
    <r>
      <rPr>
        <sz val="9"/>
        <color theme="1"/>
        <rFont val="Arial Black"/>
        <family val="2"/>
      </rPr>
      <t xml:space="preserve">+ </t>
    </r>
    <r>
      <rPr>
        <sz val="9"/>
        <color theme="1"/>
        <rFont val="Palladio Uralic"/>
      </rPr>
      <t>5)</t>
    </r>
  </si>
  <si>
    <t>Distribution and selling costs (11% of manufacturing cost)</t>
  </si>
  <si>
    <t>TOTAL PRODUCT COST</t>
  </si>
  <si>
    <r>
      <t xml:space="preserve">C </t>
    </r>
    <r>
      <rPr>
        <sz val="9"/>
        <color theme="1"/>
        <rFont val="Arial Black"/>
        <family val="2"/>
      </rPr>
      <t xml:space="preserve">+ </t>
    </r>
    <r>
      <rPr>
        <b/>
        <sz val="9"/>
        <color theme="1"/>
        <rFont val="Palladio Uralic"/>
      </rPr>
      <t>D</t>
    </r>
  </si>
  <si>
    <t>Description</t>
  </si>
  <si>
    <t>Construction period</t>
  </si>
  <si>
    <t>Operating Period</t>
  </si>
  <si>
    <t>Cash-In flow</t>
  </si>
  <si>
    <t>Operating Revenue</t>
  </si>
  <si>
    <t>Inventory</t>
  </si>
  <si>
    <t>Cash Outflow</t>
  </si>
  <si>
    <t>Main Investment</t>
  </si>
  <si>
    <t>Operating Cost</t>
  </si>
  <si>
    <t>Total Operating Cost</t>
  </si>
  <si>
    <t>Gross Margin</t>
  </si>
  <si>
    <t>Depreciation</t>
  </si>
  <si>
    <t>Net Cash Flow</t>
  </si>
  <si>
    <t>NPV@12%</t>
  </si>
  <si>
    <t>IRR</t>
  </si>
  <si>
    <t>Caustic Preparation Solution Tank (48% Caustic)</t>
  </si>
  <si>
    <t>Caustic transfer pump</t>
  </si>
  <si>
    <t>ECH Storage Tank</t>
  </si>
  <si>
    <t>ECH Transfer Pump</t>
  </si>
  <si>
    <t>Pre-Reactor</t>
  </si>
  <si>
    <t>Reaction solution Transfer pump</t>
  </si>
  <si>
    <t xml:space="preserve">Reactor </t>
  </si>
  <si>
    <t>Reaction solution Transfer pump 2</t>
  </si>
  <si>
    <t>Distillation Tower for ECH</t>
  </si>
  <si>
    <t>Solvent Storage Tank (Toluene)</t>
  </si>
  <si>
    <t>Solvent transfer pump</t>
  </si>
  <si>
    <t>Washing Tower</t>
  </si>
  <si>
    <t>Gravity Separator</t>
  </si>
  <si>
    <t>Soln Transfer pump</t>
  </si>
  <si>
    <t>Ditillation Tower for Toluene Recovery</t>
  </si>
  <si>
    <t>Soln Transfer pump 2</t>
  </si>
  <si>
    <t>Mixing Tank</t>
  </si>
  <si>
    <t>Product Tank</t>
  </si>
  <si>
    <t>UF/RO System</t>
  </si>
  <si>
    <t>Evaporator (Thin Evaporator &amp; Rotary film thin evaporator) </t>
  </si>
  <si>
    <t>Cooling Tower</t>
  </si>
  <si>
    <t>DG’s, Generator’s</t>
  </si>
  <si>
    <t>DCS System (Instrumentation Item)</t>
  </si>
  <si>
    <t>Equipment list for SER</t>
  </si>
  <si>
    <t>LER Storage tank</t>
  </si>
  <si>
    <t>Remarks</t>
  </si>
  <si>
    <t>Xylene Storage Tank</t>
  </si>
  <si>
    <t>2 Process pump &amp; 2 Standby</t>
  </si>
  <si>
    <t>Feed Pump</t>
  </si>
  <si>
    <t>150m3, SS304</t>
  </si>
  <si>
    <t>Weighing Tank</t>
  </si>
  <si>
    <t>Hoist</t>
  </si>
  <si>
    <t>BPA Hopper</t>
  </si>
  <si>
    <t>Resin Hopper</t>
  </si>
  <si>
    <t>Raw material Hopper</t>
  </si>
  <si>
    <t>BPA Dust Collector</t>
  </si>
  <si>
    <t>Resin hopper</t>
  </si>
  <si>
    <t>Dust Collector</t>
  </si>
  <si>
    <t>Cut Tank</t>
  </si>
  <si>
    <t>Product filter</t>
  </si>
  <si>
    <t>Circle Feeder</t>
  </si>
  <si>
    <t>Crusher</t>
  </si>
  <si>
    <t>Product Dust Collector</t>
  </si>
  <si>
    <t>Product Filter</t>
  </si>
  <si>
    <t>7m2, SS304</t>
  </si>
  <si>
    <t>3-4 Ton/hr, SS304</t>
  </si>
  <si>
    <t>0.2m3, SS304</t>
  </si>
  <si>
    <t>Flaker hopper</t>
  </si>
  <si>
    <t>4,000kg/hr, SS 304</t>
  </si>
  <si>
    <t>4500kg/hr, SS304</t>
  </si>
  <si>
    <t>400 KV</t>
  </si>
  <si>
    <t>Research and development costs (7% of manufacturing cost)</t>
  </si>
  <si>
    <t>Interest on Short term loan (If any)</t>
  </si>
  <si>
    <t>Maintenance and repairs (7% of fixed-capital investment)</t>
  </si>
  <si>
    <t>All Amount in USD</t>
  </si>
  <si>
    <t>Variable</t>
  </si>
  <si>
    <t>Fixed</t>
  </si>
  <si>
    <t>Rate Of Return</t>
  </si>
  <si>
    <t>ETP Plant</t>
  </si>
  <si>
    <t>800 KD</t>
  </si>
  <si>
    <t>Investment</t>
  </si>
  <si>
    <t>Total Investment</t>
  </si>
  <si>
    <t>Total Cash - Inflow (2+3)</t>
  </si>
  <si>
    <t>Raw Material Cost</t>
  </si>
  <si>
    <t>Labour</t>
  </si>
  <si>
    <t>Raw Material Variable</t>
  </si>
  <si>
    <t>INR</t>
  </si>
  <si>
    <t>Annual Variable Cost (Utility, packaging &amp; selling, Distribution cost)</t>
  </si>
  <si>
    <t>Labour Cost (Operating &amp; Supervisionary labour)</t>
  </si>
  <si>
    <t>Annual Fixed Cost ()</t>
  </si>
  <si>
    <t>Packaging Cost(5% of manufacturing cost)</t>
  </si>
  <si>
    <t>Taxes (%)</t>
  </si>
  <si>
    <t>Category</t>
  </si>
  <si>
    <t>Present Value Factor</t>
  </si>
  <si>
    <t xml:space="preserve">Cumulative Cash Flows </t>
  </si>
  <si>
    <t xml:space="preserve">Pay Back Period </t>
  </si>
  <si>
    <t>Present values</t>
  </si>
  <si>
    <t>Accounts Receivable</t>
  </si>
  <si>
    <t>DSO</t>
  </si>
  <si>
    <t>Days</t>
  </si>
  <si>
    <t>Change in sales/ mth.</t>
  </si>
  <si>
    <t>Change in AR</t>
  </si>
  <si>
    <t>Inventory (Impact of COGS change)</t>
  </si>
  <si>
    <t>DIO (Days Inventory)</t>
  </si>
  <si>
    <t>Change in COGS/ mth.</t>
  </si>
  <si>
    <t>Change in Inv.</t>
  </si>
  <si>
    <t>Accounts Payable</t>
  </si>
  <si>
    <t>DPO</t>
  </si>
  <si>
    <t>Change in payables/ mth.</t>
  </si>
  <si>
    <t>60% of 42 KTA</t>
  </si>
  <si>
    <t>80% of 42 KTA</t>
  </si>
  <si>
    <t>95% of 42 KTA</t>
  </si>
  <si>
    <t>70% of 84 KTA</t>
  </si>
  <si>
    <t>80% of 84 KTA</t>
  </si>
  <si>
    <t>90% of 84 KTA</t>
  </si>
  <si>
    <t>- Qty.</t>
  </si>
  <si>
    <t>-Rate</t>
  </si>
  <si>
    <t>Working Capital Change:</t>
  </si>
  <si>
    <t>Accounts Receivables</t>
  </si>
  <si>
    <t>Accounts Payables</t>
  </si>
  <si>
    <t>95%84 KT</t>
  </si>
  <si>
    <t>Gross Profit</t>
  </si>
  <si>
    <t>Operating Cost :</t>
  </si>
  <si>
    <t xml:space="preserve">Labour </t>
  </si>
  <si>
    <t>Variable Overheads</t>
  </si>
  <si>
    <t>Fixed Overheads</t>
  </si>
  <si>
    <t>Selling Overheads</t>
  </si>
  <si>
    <t>Taxes</t>
  </si>
  <si>
    <t>Discounted Cash Flow</t>
  </si>
  <si>
    <t>Undiscounted Cash Flow</t>
  </si>
  <si>
    <t>Cummulative Cash Flow</t>
  </si>
  <si>
    <t>NPV</t>
  </si>
  <si>
    <t>Payback Period</t>
  </si>
  <si>
    <t xml:space="preserve">Raw materials </t>
  </si>
  <si>
    <t>C4</t>
  </si>
  <si>
    <t>Total  Production Cost</t>
  </si>
  <si>
    <t>CAPACITY &amp; MOC</t>
  </si>
  <si>
    <t>Qty</t>
  </si>
  <si>
    <t>m3, SS304</t>
  </si>
  <si>
    <t>m3,PP</t>
  </si>
  <si>
    <t>m3/hr,PP</t>
  </si>
  <si>
    <t>m3/hr, SS304</t>
  </si>
  <si>
    <t xml:space="preserve">For more no of grade, Reactor will be increased accordingly </t>
  </si>
  <si>
    <t>-Rate (LER)</t>
  </si>
  <si>
    <t xml:space="preserve">Utilities (calculated) </t>
  </si>
  <si>
    <t>Catalyst &amp; Chemicals</t>
  </si>
  <si>
    <t>Research and development costs (2% of manufacturing cost)</t>
  </si>
  <si>
    <t>Packaging Cost (calculated)</t>
  </si>
  <si>
    <t>Salaries &amp; Wages (calculated)</t>
  </si>
  <si>
    <t>Distribution and selling costs (10% of manufacturing cost)</t>
  </si>
  <si>
    <t>Maintenance and repairs (2.5% of fixed-capital investment)</t>
  </si>
  <si>
    <t>Tohto Kesai</t>
  </si>
  <si>
    <t>CIBA</t>
  </si>
  <si>
    <t>[USD Million]</t>
  </si>
  <si>
    <t>Indigenous</t>
  </si>
  <si>
    <t> 1 Standby &amp; 1 working</t>
  </si>
  <si>
    <t>BPA Hopper (if Solid)</t>
  </si>
  <si>
    <t>BPA  Hopper (if Solid)</t>
  </si>
  <si>
    <t>Auxiliary</t>
  </si>
  <si>
    <t xml:space="preserve">Pre-Reactor </t>
  </si>
  <si>
    <t>Not Required</t>
  </si>
  <si>
    <t>1 Standby &amp; 1 working</t>
  </si>
  <si>
    <t xml:space="preserve"> Filter</t>
  </si>
  <si>
    <t>m2, SS304</t>
  </si>
  <si>
    <t>375m3, SS304</t>
  </si>
  <si>
    <t>110m3, SS304</t>
  </si>
  <si>
    <t>Condenser</t>
  </si>
  <si>
    <t>18m3/hr, SS304</t>
  </si>
  <si>
    <t>14m3, SS304</t>
  </si>
  <si>
    <t>08-12m3, SS304</t>
  </si>
  <si>
    <t>15 m3, SS304/CS</t>
  </si>
  <si>
    <t>1.2m3, SS304</t>
  </si>
  <si>
    <t>7.5m2, SS304</t>
  </si>
  <si>
    <t>15m3, SS304</t>
  </si>
  <si>
    <t>25m3, CS</t>
  </si>
  <si>
    <t>16m3, SS304</t>
  </si>
  <si>
    <t>17m3, SS304</t>
  </si>
  <si>
    <t>25m2, SS304</t>
  </si>
  <si>
    <t>15m3/hr, SS304</t>
  </si>
  <si>
    <t>7.5 ton/hr, SS 304</t>
  </si>
  <si>
    <t xml:space="preserve">Packer </t>
  </si>
  <si>
    <t>Packer</t>
  </si>
  <si>
    <t>40m3/hr, SS314</t>
  </si>
  <si>
    <t>Vent Condenser</t>
  </si>
  <si>
    <t>6m2, SS304</t>
  </si>
  <si>
    <t>TOTAL CAPITAL INVESTMENT (A+B)</t>
  </si>
  <si>
    <t>1.1.</t>
  </si>
  <si>
    <t>Assumptions and Findings</t>
  </si>
  <si>
    <r>
      <t>1.</t>
    </r>
    <r>
      <rPr>
        <sz val="7"/>
        <color theme="1"/>
        <rFont val="Times New Roman"/>
        <family val="1"/>
      </rPr>
      <t xml:space="preserve">     </t>
    </r>
    <r>
      <rPr>
        <sz val="10"/>
        <color theme="1"/>
        <rFont val="Arial"/>
        <family val="2"/>
      </rPr>
      <t>Solvent recovery in CIBA Technology is quite better than that of Tohto Kesai</t>
    </r>
  </si>
  <si>
    <r>
      <t>2.</t>
    </r>
    <r>
      <rPr>
        <sz val="7"/>
        <color theme="1"/>
        <rFont val="Times New Roman"/>
        <family val="1"/>
      </rPr>
      <t xml:space="preserve">     </t>
    </r>
    <r>
      <rPr>
        <sz val="10"/>
        <color theme="1"/>
        <rFont val="Arial"/>
        <family val="2"/>
      </rPr>
      <t>Catalyst &amp; Chemical cost is higher in Tohto Kesai.</t>
    </r>
  </si>
  <si>
    <r>
      <t>3.</t>
    </r>
    <r>
      <rPr>
        <sz val="7"/>
        <color theme="1"/>
        <rFont val="Times New Roman"/>
        <family val="1"/>
      </rPr>
      <t xml:space="preserve">     </t>
    </r>
    <r>
      <rPr>
        <sz val="10"/>
        <color theme="1"/>
        <rFont val="Arial"/>
        <family val="2"/>
      </rPr>
      <t>Prices of raw material and catalyst for both licensors are moving monthly average of ApReliance Industries Ltd 2019-March 2021 and for liquid epoxy resin.</t>
    </r>
  </si>
  <si>
    <r>
      <t>4.</t>
    </r>
    <r>
      <rPr>
        <sz val="7"/>
        <color theme="1"/>
        <rFont val="Times New Roman"/>
        <family val="1"/>
      </rPr>
      <t xml:space="preserve">     </t>
    </r>
    <r>
      <rPr>
        <sz val="10"/>
        <color theme="1"/>
        <rFont val="Arial"/>
        <family val="2"/>
      </rPr>
      <t>The cost of power used by the plant considered as INR5.50 per kWh. Further, the companies interviewed were grid connected for their power requirements. Tariff of electricity was derived from public documents of manufacturers and power distribution companies.</t>
    </r>
  </si>
  <si>
    <r>
      <t>5.</t>
    </r>
    <r>
      <rPr>
        <sz val="7"/>
        <color theme="1"/>
        <rFont val="Times New Roman"/>
        <family val="1"/>
      </rPr>
      <t xml:space="preserve">     </t>
    </r>
    <r>
      <rPr>
        <sz val="10"/>
        <color theme="1"/>
        <rFont val="Arial"/>
        <family val="2"/>
      </rPr>
      <t>The other utilities mainly include raw water, and its cost has been taken as INR1.25 per m3</t>
    </r>
  </si>
  <si>
    <r>
      <t>6.</t>
    </r>
    <r>
      <rPr>
        <sz val="7"/>
        <color theme="1"/>
        <rFont val="Times New Roman"/>
        <family val="1"/>
      </rPr>
      <t xml:space="preserve">     </t>
    </r>
    <r>
      <rPr>
        <sz val="10"/>
        <color theme="1"/>
        <rFont val="Arial"/>
        <family val="2"/>
      </rPr>
      <t xml:space="preserve">Per kg costs for the fixed items are calculated based on primary research. Further, Repair and maintenance cost is 2.5% of plant &amp; machinery cost. Interest on working capital is around 10% and depreciation has been calculated based on 10 years. </t>
    </r>
  </si>
  <si>
    <t>* Cost of Capital will be assumed as 10%</t>
  </si>
  <si>
    <t>*Amortization will be presumed to be in next 10 years on equal basis.</t>
  </si>
  <si>
    <t xml:space="preserve">Capacity </t>
  </si>
  <si>
    <t>* Operating Revenue will be  bifurcated between :-</t>
  </si>
  <si>
    <t>Total Capacity</t>
  </si>
  <si>
    <t>50 % will be installed initially in first year ,Later 50 % will be installed in fifth year .</t>
  </si>
  <si>
    <t>* Capacity will be Installed in two phases:-</t>
  </si>
  <si>
    <t>*Inentory will be taken as of 30 Days.</t>
  </si>
  <si>
    <t>*Accounts Receivables will be taken as of 60 Days.</t>
  </si>
  <si>
    <t>*Accounts Payables will be taken as of 60 Days.</t>
  </si>
  <si>
    <t>-Rate (SER - Solid)</t>
  </si>
  <si>
    <t>-Rate (Semi Solid)</t>
  </si>
  <si>
    <t>Cost of Capital (10%)</t>
  </si>
  <si>
    <t xml:space="preserve">                           Licensed   Capacity 840000 Tonnes</t>
  </si>
  <si>
    <t>LER</t>
  </si>
  <si>
    <t>Solid Epoxy Resin</t>
  </si>
  <si>
    <t>Semi Solid and Specialized Epoxy Resin</t>
  </si>
  <si>
    <t>ITEM (Solid Epoxy Resin)</t>
  </si>
  <si>
    <t>MEE/MVR</t>
  </si>
  <si>
    <t>ITEM (Liquid Epoxy Resin)</t>
  </si>
  <si>
    <t>ITEM (Specialized Epoxy Resin</t>
  </si>
  <si>
    <t>D4+D7+D9+D12</t>
  </si>
  <si>
    <t>D3+D16</t>
  </si>
  <si>
    <t>D3 + D16</t>
  </si>
  <si>
    <t>- Qty (LER)</t>
  </si>
  <si>
    <t>- Qty (Solid)</t>
  </si>
  <si>
    <t>- Qty. (Semi - Solid)</t>
  </si>
  <si>
    <t>- Qty. (Specialized)</t>
  </si>
  <si>
    <t>-Rate (Specialized)</t>
  </si>
  <si>
    <t>1st year raw material prices are weighted average of CFR JNPT price during July 2018 to November 2021</t>
  </si>
  <si>
    <t xml:space="preserve"> (25 Kg, 100 Kg, 200Kg, 500 Kg /bag,), SS 304</t>
  </si>
  <si>
    <t xml:space="preserve"> (25 Kg, 100 Kg, 200Kg, 500 Kg /bag,) SS 304</t>
  </si>
  <si>
    <t>Warehouse</t>
  </si>
  <si>
    <t>1.8 Acre</t>
  </si>
  <si>
    <t>Final Total (1.1+1.2+ 1.3+1.4)</t>
  </si>
  <si>
    <t>CIBA Technology</t>
  </si>
  <si>
    <t>Cost Estimation</t>
  </si>
  <si>
    <t>No of Emplyees</t>
  </si>
  <si>
    <t>Top Level</t>
  </si>
  <si>
    <t>Senior level Management</t>
  </si>
  <si>
    <t>Mid Level Management</t>
  </si>
  <si>
    <t>Initial level</t>
  </si>
  <si>
    <t xml:space="preserve">Blue collar </t>
  </si>
  <si>
    <t>Contracutal, Skilled &amp; Unskilled Worker</t>
  </si>
  <si>
    <t>Total Salary &amp; Wages (Lakh)</t>
  </si>
  <si>
    <t>Total Salary &amp; Wages (USD Million)</t>
  </si>
  <si>
    <t>Please refer salary and wages estimation</t>
  </si>
  <si>
    <t>ITEM (Semi Solid)</t>
  </si>
  <si>
    <t>Packaging Cost</t>
  </si>
  <si>
    <t>Calculated =USD 4.8 million</t>
  </si>
  <si>
    <t xml:space="preserve">Plant Overhead Costs </t>
  </si>
  <si>
    <t xml:space="preserve">Maintenance and repairs </t>
  </si>
  <si>
    <t xml:space="preserve">Administrative costs </t>
  </si>
  <si>
    <t>Distribution and selling costs</t>
  </si>
  <si>
    <t xml:space="preserve">Research and development costs </t>
  </si>
  <si>
    <r>
      <t xml:space="preserve">Plant Overhead Costs (45% of </t>
    </r>
    <r>
      <rPr>
        <sz val="9"/>
        <rFont val="Arial Black"/>
        <family val="2"/>
      </rPr>
      <t xml:space="preserve"> </t>
    </r>
    <r>
      <rPr>
        <sz val="9"/>
        <rFont val="Palladio Uralic"/>
      </rPr>
      <t>3 + 6)</t>
    </r>
  </si>
  <si>
    <t>Administrative costs (10% of 3 + 6)</t>
  </si>
  <si>
    <t>Total  Production Cost (USD Per Tonne)</t>
  </si>
  <si>
    <t>PARAMETERS</t>
  </si>
  <si>
    <t>COST OF PRODUCTION: Solid Epoxy Resin (LER Captive)</t>
  </si>
  <si>
    <t>Quantity</t>
  </si>
  <si>
    <t>Amount</t>
  </si>
  <si>
    <t>Tonne</t>
  </si>
  <si>
    <t>USD/Tonne</t>
  </si>
  <si>
    <t>USD</t>
  </si>
  <si>
    <t>VARIABLE COST</t>
  </si>
  <si>
    <t xml:space="preserve">Raw Materials </t>
  </si>
  <si>
    <t>Liquid Epoxy Resin</t>
  </si>
  <si>
    <t>BisPhenol A</t>
  </si>
  <si>
    <t>Caustic Soda</t>
  </si>
  <si>
    <t>Sub-Total (1)</t>
  </si>
  <si>
    <r>
      <t>Utility</t>
    </r>
    <r>
      <rPr>
        <sz val="8"/>
        <color rgb="FF000000"/>
        <rFont val="Calibri"/>
        <family val="2"/>
        <scheme val="minor"/>
      </rPr>
      <t>  </t>
    </r>
  </si>
  <si>
    <r>
      <t>Catalyst &amp; Solvent</t>
    </r>
    <r>
      <rPr>
        <sz val="8"/>
        <color rgb="FF000000"/>
        <rFont val="Calibri"/>
        <family val="2"/>
        <scheme val="minor"/>
      </rPr>
      <t>  </t>
    </r>
  </si>
  <si>
    <t>Labor</t>
  </si>
  <si>
    <t>Miscellaneous (R &amp; D and Selling &amp; Transportation, packaging)</t>
  </si>
  <si>
    <t>TOTAL VARIABLE COST</t>
  </si>
  <si>
    <t>FIXED COST</t>
  </si>
  <si>
    <t>Plant-Overhead Costs</t>
  </si>
  <si>
    <t>Total Fixed Cost</t>
  </si>
  <si>
    <r>
      <t>Catalyst &amp; Solvent</t>
    </r>
    <r>
      <rPr>
        <sz val="8"/>
        <rFont val="Calibri"/>
        <family val="2"/>
        <scheme val="minor"/>
      </rPr>
      <t>  </t>
    </r>
  </si>
  <si>
    <r>
      <t>Utility</t>
    </r>
    <r>
      <rPr>
        <sz val="8"/>
        <rFont val="Calibri"/>
        <family val="2"/>
        <scheme val="minor"/>
      </rPr>
      <t>  </t>
    </r>
  </si>
  <si>
    <t>Epichlorohydrin</t>
  </si>
  <si>
    <t>Bisphenol A</t>
  </si>
  <si>
    <t>Year</t>
  </si>
  <si>
    <t>Month</t>
  </si>
  <si>
    <t>January</t>
  </si>
  <si>
    <t>February</t>
  </si>
  <si>
    <t>March</t>
  </si>
  <si>
    <t>April</t>
  </si>
  <si>
    <t>May</t>
  </si>
  <si>
    <t>June</t>
  </si>
  <si>
    <t>July</t>
  </si>
  <si>
    <t>August</t>
  </si>
  <si>
    <t>September</t>
  </si>
  <si>
    <t>October</t>
  </si>
  <si>
    <t>November</t>
  </si>
  <si>
    <t>December</t>
  </si>
  <si>
    <t>Bisphenol A CFR JNPT</t>
  </si>
  <si>
    <t>Epichlorohydrin CFR JNPT</t>
  </si>
  <si>
    <t>Caustic Soda Lye Ex-JNPT</t>
  </si>
  <si>
    <t>Prices in USD/Tonne</t>
  </si>
  <si>
    <t>Specialized Epoxy Resin Opex (100% Basis - 14000 TPA Capacity)</t>
  </si>
  <si>
    <t>Semi Solid Opex (100% Basis - 6000 TPA Capacity)</t>
  </si>
  <si>
    <t>Solid Epoxy Resin Opex (100% Basis -20000 TPA Capacity)</t>
  </si>
  <si>
    <t>Liquid Epoxy Resin Opex (100% Basis -44000 TPA Capacity)</t>
  </si>
  <si>
    <t>Product Name</t>
  </si>
  <si>
    <t>Country</t>
  </si>
  <si>
    <t>Epoxy Resin Liquid FOB North East Asia</t>
  </si>
  <si>
    <t>China</t>
  </si>
  <si>
    <t>Epoxy Resin Solid FOB North East Asia</t>
  </si>
  <si>
    <t>Epoxy Resin Semi Solid FOB North East Asia</t>
  </si>
  <si>
    <t>Purchased-equipment installation (32% of Delivered main equipment (includes auxiliary equipment))</t>
  </si>
  <si>
    <t>Instrumentation and controls (installed) (21% of Delivered main equipment (includes auxiliary equipment))</t>
  </si>
  <si>
    <t>Piping (installed) (26% of Delivered main equipment (includes auxiliary equipment))</t>
  </si>
  <si>
    <t>Electrical (installed) (8% of Delivered main equipment (includes auxiliary equipment))</t>
  </si>
  <si>
    <t>Service facilities (installed) (45% of Delivered main equipment (includes auxiliary equipment))</t>
  </si>
  <si>
    <t>Engineering and supervision (26% of Delivered main equipment (includes auxiliary equipment))</t>
  </si>
  <si>
    <t>Construction expenses (28% of  Delivered main equipment (includes auxiliary equipment))</t>
  </si>
  <si>
    <t>Legal expenses (3% of  Delivered main equipment (includes auxiliary equipment))</t>
  </si>
  <si>
    <t>Contractor’s fee (16% of  Delivered main equipment (includes auxiliary equipment))</t>
  </si>
  <si>
    <t>Contingency (Derived)</t>
  </si>
  <si>
    <t>Q4 FY2022</t>
  </si>
  <si>
    <t>Q4 FY2023</t>
  </si>
  <si>
    <t>Q1 FY2023</t>
  </si>
  <si>
    <t>Q2 FY2023</t>
  </si>
  <si>
    <t>Q3 FY2023</t>
  </si>
  <si>
    <t>COST OF PRODUCTION</t>
  </si>
  <si>
    <t xml:space="preserve">Buildings (including services) </t>
  </si>
  <si>
    <t>Others (15% of delivered main equipment)</t>
  </si>
  <si>
    <t>Per Tonne Cost ranges from USD 95-100</t>
  </si>
  <si>
    <t>Per Tonne Cost ranges from USD 97-102</t>
  </si>
  <si>
    <t xml:space="preserve">Total </t>
  </si>
  <si>
    <t>Annual Salary in Lakhs</t>
  </si>
  <si>
    <t>*Tax rate will be assumed  as 30%</t>
  </si>
  <si>
    <t>Price (USD / Tonne)</t>
  </si>
  <si>
    <t>Total Production Cost (USD / Tonne)</t>
  </si>
  <si>
    <t xml:space="preserve">USD </t>
  </si>
  <si>
    <t>BPA</t>
  </si>
  <si>
    <t>ECH</t>
  </si>
  <si>
    <t>CS</t>
  </si>
  <si>
    <t>cost of pro LER</t>
  </si>
  <si>
    <t>LER price local</t>
  </si>
  <si>
    <t>Cost of Prod SER</t>
  </si>
  <si>
    <t>SER Price local</t>
  </si>
  <si>
    <t>Cost Of prod SSER</t>
  </si>
  <si>
    <t>SSER price local</t>
  </si>
  <si>
    <t>COST OF PRODUCTION: Specialized Epoxy Resin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</si>
</sst>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43" formatCode="_ * #,##0.00_ ;_ * \-#,##0.00_ ;_ * &quot;-&quot;??_ ;_ @_ "/>
    <numFmt numFmtId="164" formatCode="_(* #,##0.00_);_(* \(#,##0.00\);_(* &quot;-&quot;??_);_(@_)"/>
    <numFmt numFmtId="165" formatCode="0.0"/>
    <numFmt numFmtId="166" formatCode="_ * #,##0_ ;_ * \-#,##0_ ;_ * &quot;-&quot;??_ ;_ @_ "/>
    <numFmt numFmtId="167" formatCode="_(* #,##0_);_(* \(#,##0\);_(* &quot;-&quot;??_);_(@_)"/>
    <numFmt numFmtId="168" formatCode="#,##0.000"/>
    <numFmt numFmtId="169" formatCode="0.000"/>
    <numFmt numFmtId="170" formatCode="0.000%"/>
  </numFmts>
  <fonts count="41">
    <font>
      <sz val="11"/>
      <color theme="1"/>
      <name val="Calibri"/>
      <family val="2"/>
      <scheme val="minor"/>
    </font>
    <font>
      <sz val="11"/>
      <color theme="1"/>
      <name val="Calibri"/>
      <family val="2"/>
      <scheme val="minor"/>
    </font>
    <font>
      <b/>
      <sz val="11"/>
      <color theme="1"/>
      <name val="Calibri"/>
      <family val="2"/>
      <scheme val="minor"/>
    </font>
    <font>
      <sz val="11"/>
      <color theme="1"/>
      <name val="Palladio Uralic"/>
    </font>
    <font>
      <sz val="9"/>
      <color theme="1"/>
      <name val="Times New Roman"/>
      <family val="1"/>
    </font>
    <font>
      <b/>
      <sz val="9"/>
      <color theme="1"/>
      <name val="Palladio Uralic"/>
    </font>
    <font>
      <sz val="9"/>
      <color theme="1"/>
      <name val="Arial Black"/>
      <family val="2"/>
    </font>
    <font>
      <sz val="9"/>
      <color theme="1"/>
      <name val="Palladio Uralic"/>
    </font>
    <font>
      <sz val="10"/>
      <color theme="1"/>
      <name val="Palladio Uralic"/>
    </font>
    <font>
      <u/>
      <sz val="11"/>
      <color theme="10"/>
      <name val="Calibri"/>
      <family val="2"/>
      <scheme val="minor"/>
    </font>
    <font>
      <sz val="8"/>
      <color rgb="FF000000"/>
      <name val="Calibri"/>
      <family val="2"/>
    </font>
    <font>
      <b/>
      <sz val="8"/>
      <color rgb="FF000000"/>
      <name val="Times New Roman"/>
      <family val="1"/>
    </font>
    <font>
      <sz val="11"/>
      <color rgb="FF000000"/>
      <name val="Calibri"/>
      <family val="2"/>
      <scheme val="minor"/>
    </font>
    <font>
      <b/>
      <sz val="11"/>
      <color rgb="FF000000"/>
      <name val="Calibri"/>
      <family val="2"/>
      <scheme val="minor"/>
    </font>
    <font>
      <sz val="9"/>
      <color indexed="81"/>
      <name val="Tahoma"/>
      <family val="2"/>
    </font>
    <font>
      <b/>
      <sz val="9"/>
      <color indexed="81"/>
      <name val="Tahoma"/>
      <family val="2"/>
    </font>
    <font>
      <b/>
      <sz val="11"/>
      <color theme="0"/>
      <name val="Calibri"/>
      <family val="2"/>
      <scheme val="minor"/>
    </font>
    <font>
      <sz val="11"/>
      <color theme="0"/>
      <name val="Calibri"/>
      <family val="2"/>
      <scheme val="minor"/>
    </font>
    <font>
      <b/>
      <sz val="10"/>
      <name val="Arial"/>
      <family val="2"/>
    </font>
    <font>
      <sz val="10"/>
      <name val="Arial"/>
      <family val="2"/>
    </font>
    <font>
      <b/>
      <sz val="11"/>
      <name val="Calibri"/>
      <family val="2"/>
      <scheme val="minor"/>
    </font>
    <font>
      <b/>
      <i/>
      <sz val="11"/>
      <color rgb="FF000000"/>
      <name val="Calibri"/>
      <family val="2"/>
      <scheme val="minor"/>
    </font>
    <font>
      <b/>
      <sz val="9"/>
      <color rgb="FFFF0000"/>
      <name val="Palladio Uralic"/>
    </font>
    <font>
      <sz val="9"/>
      <color rgb="FFFF0000"/>
      <name val="Palladio Uralic"/>
    </font>
    <font>
      <b/>
      <sz val="12"/>
      <color theme="1"/>
      <name val="Arial"/>
      <family val="2"/>
    </font>
    <font>
      <sz val="9"/>
      <name val="Palladio Uralic"/>
    </font>
    <font>
      <sz val="9"/>
      <name val="Arial Black"/>
      <family val="2"/>
    </font>
    <font>
      <b/>
      <sz val="9"/>
      <name val="Palladio Uralic"/>
    </font>
    <font>
      <b/>
      <i/>
      <u/>
      <sz val="11"/>
      <color theme="1"/>
      <name val="Arial"/>
      <family val="2"/>
    </font>
    <font>
      <sz val="10"/>
      <color theme="1"/>
      <name val="Arial"/>
      <family val="2"/>
    </font>
    <font>
      <sz val="7"/>
      <color theme="1"/>
      <name val="Times New Roman"/>
      <family val="1"/>
    </font>
    <font>
      <sz val="10"/>
      <color theme="0"/>
      <name val="Arial"/>
      <family val="2"/>
    </font>
    <font>
      <b/>
      <sz val="10"/>
      <color rgb="FF000000"/>
      <name val="Arial"/>
      <family val="2"/>
    </font>
    <font>
      <sz val="10"/>
      <color rgb="FF000000"/>
      <name val="Arial"/>
      <family val="2"/>
    </font>
    <font>
      <sz val="8"/>
      <color rgb="FF000000"/>
      <name val="Calibri"/>
      <family val="2"/>
      <scheme val="minor"/>
    </font>
    <font>
      <sz val="11"/>
      <name val="Calibri"/>
      <family val="2"/>
      <scheme val="minor"/>
    </font>
    <font>
      <sz val="8"/>
      <name val="Calibri"/>
      <family val="2"/>
      <scheme val="minor"/>
    </font>
    <font>
      <sz val="9"/>
      <name val="Calibri"/>
      <family val="2"/>
      <scheme val="minor"/>
    </font>
    <font>
      <sz val="9"/>
      <name val="Times New Roman"/>
      <family val="1"/>
    </font>
    <font>
      <sz val="10"/>
      <color theme="1"/>
      <name val="Times New Roman"/>
      <family val="1"/>
    </font>
    <font>
      <sz val="10"/>
      <name val="Times New Roman"/>
      <family val="1"/>
    </font>
  </fonts>
  <fills count="32">
    <fill>
      <patternFill patternType="none"/>
    </fill>
    <fill>
      <patternFill patternType="gray125"/>
    </fill>
    <fill>
      <patternFill patternType="solid">
        <fgColor rgb="FFFFFF00"/>
        <bgColor indexed="64"/>
      </patternFill>
    </fill>
    <fill>
      <patternFill patternType="solid">
        <fgColor rgb="FFFF0000"/>
        <bgColor indexed="64"/>
      </patternFill>
    </fill>
    <fill>
      <patternFill patternType="solid">
        <fgColor theme="4" tint="0.39997558519241921"/>
        <bgColor indexed="64"/>
      </patternFill>
    </fill>
    <fill>
      <patternFill patternType="solid">
        <fgColor theme="2" tint="-9.9978637043366805E-2"/>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patternFill>
    </fill>
    <fill>
      <patternFill patternType="solid">
        <fgColor theme="7" tint="-0.499984740745262"/>
        <bgColor indexed="64"/>
      </patternFill>
    </fill>
    <fill>
      <patternFill patternType="solid">
        <fgColor theme="5" tint="-0.499984740745262"/>
        <bgColor indexed="64"/>
      </patternFill>
    </fill>
    <fill>
      <patternFill patternType="solid">
        <fgColor rgb="FFFFC000"/>
        <bgColor indexed="64"/>
      </patternFill>
    </fill>
    <fill>
      <patternFill patternType="solid">
        <fgColor indexed="9"/>
        <bgColor indexed="64"/>
      </patternFill>
    </fill>
    <fill>
      <patternFill patternType="solid">
        <fgColor theme="8"/>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rgb="FFC6E0B4"/>
        <bgColor indexed="64"/>
      </patternFill>
    </fill>
    <fill>
      <patternFill patternType="solid">
        <fgColor rgb="FFFFFFFF"/>
        <bgColor indexed="64"/>
      </patternFill>
    </fill>
    <fill>
      <patternFill patternType="solid">
        <fgColor rgb="FF9CC2E5"/>
        <bgColor indexed="64"/>
      </patternFill>
    </fill>
    <fill>
      <patternFill patternType="solid">
        <fgColor rgb="FF7030A0"/>
        <bgColor indexed="64"/>
      </patternFill>
    </fill>
    <fill>
      <patternFill patternType="solid">
        <fgColor theme="6" tint="0.79998168889431442"/>
        <bgColor indexed="64"/>
      </patternFill>
    </fill>
    <fill>
      <patternFill patternType="solid">
        <fgColor rgb="FF9BC2E6"/>
        <bgColor indexed="64"/>
      </patternFill>
    </fill>
    <fill>
      <patternFill patternType="solid">
        <fgColor rgb="FFF8CBAD"/>
        <bgColor indexed="64"/>
      </patternFill>
    </fill>
    <fill>
      <patternFill patternType="solid">
        <fgColor rgb="FFFCE4D6"/>
        <bgColor indexed="64"/>
      </patternFill>
    </fill>
    <fill>
      <patternFill patternType="solid">
        <fgColor rgb="FFFFD966"/>
        <bgColor indexed="64"/>
      </patternFill>
    </fill>
    <fill>
      <patternFill patternType="solid">
        <fgColor rgb="FFE7E6E6"/>
        <bgColor indexed="64"/>
      </patternFill>
    </fill>
    <fill>
      <patternFill patternType="solid">
        <fgColor rgb="FFFFF2CC"/>
        <bgColor indexed="64"/>
      </patternFill>
    </fill>
    <fill>
      <patternFill patternType="solid">
        <fgColor rgb="FFBF8F00"/>
        <bgColor indexed="64"/>
      </patternFill>
    </fill>
    <fill>
      <patternFill patternType="solid">
        <fgColor theme="0"/>
        <bgColor indexed="64"/>
      </patternFill>
    </fill>
  </fills>
  <borders count="60">
    <border>
      <left/>
      <right/>
      <top/>
      <bottom/>
      <diagonal/>
    </border>
    <border>
      <left style="thin">
        <color indexed="64"/>
      </left>
      <right style="thin">
        <color indexed="64"/>
      </right>
      <top style="thin">
        <color indexed="64"/>
      </top>
      <bottom style="thin">
        <color indexed="64"/>
      </bottom>
      <diagonal/>
    </border>
    <border>
      <left/>
      <right/>
      <top style="medium">
        <color rgb="FF000000"/>
      </top>
      <bottom style="medium">
        <color rgb="FF000000"/>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bottom/>
      <diagonal/>
    </border>
    <border>
      <left style="medium">
        <color indexed="64"/>
      </left>
      <right style="thin">
        <color indexed="64"/>
      </right>
      <top style="thin">
        <color indexed="64"/>
      </top>
      <bottom/>
      <diagonal/>
    </border>
    <border>
      <left style="medium">
        <color indexed="64"/>
      </left>
      <right style="thin">
        <color indexed="64"/>
      </right>
      <top/>
      <bottom style="thin">
        <color indexed="64"/>
      </bottom>
      <diagonal/>
    </border>
    <border>
      <left/>
      <right style="medium">
        <color rgb="FF000000"/>
      </right>
      <top style="medium">
        <color indexed="64"/>
      </top>
      <bottom/>
      <diagonal/>
    </border>
    <border>
      <left style="medium">
        <color rgb="FF000000"/>
      </left>
      <right/>
      <top style="medium">
        <color indexed="64"/>
      </top>
      <bottom/>
      <diagonal/>
    </border>
    <border>
      <left style="medium">
        <color indexed="64"/>
      </left>
      <right/>
      <top/>
      <bottom style="medium">
        <color rgb="FF000000"/>
      </bottom>
      <diagonal/>
    </border>
    <border>
      <left/>
      <right style="medium">
        <color rgb="FF000000"/>
      </right>
      <top/>
      <bottom style="medium">
        <color rgb="FF000000"/>
      </bottom>
      <diagonal/>
    </border>
    <border>
      <left style="medium">
        <color rgb="FF000000"/>
      </left>
      <right/>
      <top/>
      <bottom style="medium">
        <color rgb="FF000000"/>
      </bottom>
      <diagonal/>
    </border>
    <border>
      <left/>
      <right/>
      <top/>
      <bottom style="medium">
        <color rgb="FF000000"/>
      </bottom>
      <diagonal/>
    </border>
    <border>
      <left style="medium">
        <color indexed="64"/>
      </left>
      <right/>
      <top style="medium">
        <color rgb="FF000000"/>
      </top>
      <bottom/>
      <diagonal/>
    </border>
    <border>
      <left/>
      <right style="medium">
        <color rgb="FF000000"/>
      </right>
      <top style="medium">
        <color rgb="FF000000"/>
      </top>
      <bottom/>
      <diagonal/>
    </border>
    <border>
      <left/>
      <right style="medium">
        <color indexed="64"/>
      </right>
      <top/>
      <bottom/>
      <diagonal/>
    </border>
    <border>
      <left style="medium">
        <color indexed="64"/>
      </left>
      <right style="medium">
        <color indexed="64"/>
      </right>
      <top/>
      <bottom/>
      <diagonal/>
    </border>
    <border>
      <left style="medium">
        <color indexed="64"/>
      </left>
      <right style="medium">
        <color indexed="64"/>
      </right>
      <top/>
      <bottom style="medium">
        <color rgb="FF000000"/>
      </bottom>
      <diagonal/>
    </border>
    <border>
      <left/>
      <right style="medium">
        <color rgb="FF000000"/>
      </right>
      <top/>
      <bottom/>
      <diagonal/>
    </border>
    <border>
      <left style="medium">
        <color rgb="FF000000"/>
      </left>
      <right style="medium">
        <color indexed="64"/>
      </right>
      <top style="medium">
        <color indexed="64"/>
      </top>
      <bottom/>
      <diagonal/>
    </border>
    <border>
      <left style="medium">
        <color rgb="FF000000"/>
      </left>
      <right style="medium">
        <color indexed="64"/>
      </right>
      <top/>
      <bottom style="medium">
        <color indexed="64"/>
      </bottom>
      <diagonal/>
    </border>
    <border>
      <left/>
      <right style="medium">
        <color rgb="FF000000"/>
      </right>
      <top/>
      <bottom style="medium">
        <color indexed="64"/>
      </bottom>
      <diagonal/>
    </border>
    <border>
      <left style="medium">
        <color rgb="FF000000"/>
      </left>
      <right style="medium">
        <color indexed="64"/>
      </right>
      <top/>
      <bottom style="medium">
        <color rgb="FF000000"/>
      </bottom>
      <diagonal/>
    </border>
    <border>
      <left/>
      <right style="medium">
        <color rgb="FF000000"/>
      </right>
      <top style="medium">
        <color indexed="64"/>
      </top>
      <bottom style="medium">
        <color indexed="64"/>
      </bottom>
      <diagonal/>
    </border>
    <border>
      <left style="thin">
        <color indexed="64"/>
      </left>
      <right/>
      <top style="thin">
        <color indexed="64"/>
      </top>
      <bottom style="medium">
        <color indexed="64"/>
      </bottom>
      <diagonal/>
    </border>
  </borders>
  <cellStyleXfs count="10">
    <xf numFmtId="0" fontId="0" fillId="0" borderId="0"/>
    <xf numFmtId="9" fontId="1" fillId="0" borderId="0" applyFont="0" applyFill="0" applyBorder="0" applyAlignment="0" applyProtection="0"/>
    <xf numFmtId="43" fontId="1" fillId="0" borderId="0" applyFont="0" applyFill="0" applyBorder="0" applyAlignment="0" applyProtection="0"/>
    <xf numFmtId="0" fontId="9" fillId="0" borderId="0" applyNumberFormat="0" applyFill="0" applyBorder="0" applyAlignment="0" applyProtection="0"/>
    <xf numFmtId="0" fontId="17" fillId="11" borderId="0" applyNumberFormat="0" applyBorder="0" applyAlignment="0" applyProtection="0"/>
    <xf numFmtId="164" fontId="1" fillId="0" borderId="0" applyFont="0" applyFill="0" applyBorder="0" applyAlignment="0" applyProtection="0"/>
    <xf numFmtId="43" fontId="1" fillId="0" borderId="0" applyFont="0" applyFill="0" applyBorder="0" applyAlignment="0" applyProtection="0"/>
    <xf numFmtId="0" fontId="19" fillId="0" borderId="0"/>
    <xf numFmtId="0" fontId="1" fillId="0" borderId="0"/>
    <xf numFmtId="0" fontId="19" fillId="0" borderId="0"/>
  </cellStyleXfs>
  <cellXfs count="412">
    <xf numFmtId="0" fontId="0" fillId="0" borderId="0" xfId="0"/>
    <xf numFmtId="0" fontId="0" fillId="0" borderId="0" xfId="0" applyBorder="1"/>
    <xf numFmtId="0" fontId="0" fillId="0" borderId="1" xfId="0" applyBorder="1"/>
    <xf numFmtId="0" fontId="4" fillId="0" borderId="2" xfId="0" applyFont="1" applyBorder="1" applyAlignment="1">
      <alignment vertical="center" wrapText="1"/>
    </xf>
    <xf numFmtId="3" fontId="0" fillId="0" borderId="0" xfId="0" applyNumberFormat="1"/>
    <xf numFmtId="0" fontId="5" fillId="0" borderId="2" xfId="0" applyFont="1" applyBorder="1" applyAlignment="1">
      <alignment horizontal="left" vertical="center" wrapText="1" indent="1"/>
    </xf>
    <xf numFmtId="0" fontId="5" fillId="0" borderId="0" xfId="0" applyFont="1" applyAlignment="1">
      <alignment horizontal="center" vertical="center" wrapText="1"/>
    </xf>
    <xf numFmtId="0" fontId="5" fillId="0" borderId="0" xfId="0" applyFont="1" applyAlignment="1">
      <alignment horizontal="left" vertical="center" wrapText="1" indent="1"/>
    </xf>
    <xf numFmtId="0" fontId="8" fillId="0" borderId="0" xfId="0" applyFont="1" applyAlignment="1">
      <alignment vertical="center"/>
    </xf>
    <xf numFmtId="0" fontId="3" fillId="0" borderId="0" xfId="0" applyFont="1" applyAlignment="1">
      <alignment vertical="center"/>
    </xf>
    <xf numFmtId="0" fontId="5" fillId="0" borderId="2" xfId="0" applyFont="1" applyBorder="1" applyAlignment="1">
      <alignment horizontal="right" vertical="center" wrapText="1"/>
    </xf>
    <xf numFmtId="3" fontId="5" fillId="0" borderId="0" xfId="0" applyNumberFormat="1" applyFont="1" applyAlignment="1">
      <alignment horizontal="right" vertical="center" wrapText="1"/>
    </xf>
    <xf numFmtId="0" fontId="0" fillId="5" borderId="5" xfId="0" applyFill="1" applyBorder="1"/>
    <xf numFmtId="0" fontId="0" fillId="4" borderId="3" xfId="0" applyFill="1" applyBorder="1"/>
    <xf numFmtId="0" fontId="0" fillId="5" borderId="6" xfId="0" applyFill="1" applyBorder="1" applyAlignment="1">
      <alignment horizontal="center"/>
    </xf>
    <xf numFmtId="0" fontId="0" fillId="5" borderId="9" xfId="0" applyFill="1" applyBorder="1"/>
    <xf numFmtId="0" fontId="0" fillId="6" borderId="4" xfId="0" applyFill="1" applyBorder="1"/>
    <xf numFmtId="0" fontId="0" fillId="6" borderId="1" xfId="0" applyFill="1" applyBorder="1"/>
    <xf numFmtId="0" fontId="10" fillId="0" borderId="3" xfId="0" applyFont="1" applyBorder="1" applyAlignment="1">
      <alignment horizontal="center" vertical="center"/>
    </xf>
    <xf numFmtId="0" fontId="10" fillId="0" borderId="10" xfId="0" applyFont="1" applyBorder="1" applyAlignment="1">
      <alignment horizontal="center" vertical="center"/>
    </xf>
    <xf numFmtId="0" fontId="10" fillId="0" borderId="10" xfId="0" applyFont="1" applyBorder="1" applyAlignment="1">
      <alignment horizontal="center" vertical="center" wrapText="1"/>
    </xf>
    <xf numFmtId="0" fontId="10" fillId="0" borderId="11" xfId="0" applyFont="1" applyBorder="1" applyAlignment="1">
      <alignment vertical="center"/>
    </xf>
    <xf numFmtId="0" fontId="10" fillId="0" borderId="12" xfId="0" applyFont="1" applyBorder="1" applyAlignment="1">
      <alignment vertical="center"/>
    </xf>
    <xf numFmtId="0" fontId="10" fillId="0" borderId="12" xfId="0" applyFont="1" applyBorder="1" applyAlignment="1">
      <alignment vertical="center" wrapText="1"/>
    </xf>
    <xf numFmtId="0" fontId="10" fillId="0" borderId="12" xfId="0" applyFont="1" applyBorder="1" applyAlignment="1">
      <alignment horizontal="right" vertical="center" wrapText="1"/>
    </xf>
    <xf numFmtId="0" fontId="10" fillId="0" borderId="11" xfId="0" applyFont="1" applyBorder="1" applyAlignment="1">
      <alignment horizontal="right" vertical="center"/>
    </xf>
    <xf numFmtId="0" fontId="10" fillId="0" borderId="12" xfId="0" applyFont="1" applyBorder="1" applyAlignment="1">
      <alignment horizontal="right" vertical="center"/>
    </xf>
    <xf numFmtId="0" fontId="11" fillId="0" borderId="12" xfId="0" applyFont="1" applyBorder="1" applyAlignment="1">
      <alignment vertical="center"/>
    </xf>
    <xf numFmtId="0" fontId="11" fillId="0" borderId="12" xfId="0" applyFont="1" applyBorder="1" applyAlignment="1">
      <alignment horizontal="right" vertical="center" wrapText="1"/>
    </xf>
    <xf numFmtId="0" fontId="5" fillId="0" borderId="1" xfId="0" applyFont="1" applyBorder="1" applyAlignment="1">
      <alignment horizontal="center" vertical="center" wrapText="1"/>
    </xf>
    <xf numFmtId="0" fontId="5" fillId="0" borderId="1" xfId="0" applyFont="1" applyBorder="1" applyAlignment="1">
      <alignment horizontal="left" vertical="center" wrapText="1" indent="1"/>
    </xf>
    <xf numFmtId="0" fontId="7" fillId="0" borderId="1" xfId="0" applyFont="1" applyBorder="1" applyAlignment="1">
      <alignment horizontal="center" vertical="center" wrapText="1"/>
    </xf>
    <xf numFmtId="0" fontId="7" fillId="0" borderId="1" xfId="0" applyFont="1" applyBorder="1" applyAlignment="1">
      <alignment horizontal="left" vertical="center" wrapText="1" indent="1"/>
    </xf>
    <xf numFmtId="0" fontId="10" fillId="0" borderId="0" xfId="0" applyFont="1" applyFill="1" applyBorder="1" applyAlignment="1">
      <alignment horizontal="right" vertical="center"/>
    </xf>
    <xf numFmtId="0" fontId="2" fillId="6" borderId="1" xfId="0" applyFont="1" applyFill="1" applyBorder="1"/>
    <xf numFmtId="3" fontId="10" fillId="0" borderId="12" xfId="0" applyNumberFormat="1" applyFont="1" applyBorder="1" applyAlignment="1">
      <alignment horizontal="right" vertical="center"/>
    </xf>
    <xf numFmtId="0" fontId="7" fillId="7" borderId="1" xfId="0" applyFont="1" applyFill="1" applyBorder="1" applyAlignment="1">
      <alignment horizontal="center" vertical="center" wrapText="1"/>
    </xf>
    <xf numFmtId="0" fontId="7" fillId="7" borderId="1" xfId="0" applyFont="1" applyFill="1" applyBorder="1" applyAlignment="1">
      <alignment horizontal="left" vertical="center" wrapText="1" indent="1"/>
    </xf>
    <xf numFmtId="3" fontId="7" fillId="7" borderId="1" xfId="0" applyNumberFormat="1" applyFont="1" applyFill="1" applyBorder="1" applyAlignment="1">
      <alignment horizontal="right" vertical="center" wrapText="1"/>
    </xf>
    <xf numFmtId="3" fontId="7" fillId="0" borderId="1" xfId="0" applyNumberFormat="1" applyFont="1" applyBorder="1" applyAlignment="1">
      <alignment horizontal="right" vertical="center" wrapText="1"/>
    </xf>
    <xf numFmtId="10" fontId="7" fillId="0" borderId="1" xfId="0" applyNumberFormat="1" applyFont="1" applyBorder="1" applyAlignment="1">
      <alignment horizontal="center" vertical="center" wrapText="1"/>
    </xf>
    <xf numFmtId="10" fontId="7" fillId="7" borderId="1" xfId="0" applyNumberFormat="1" applyFont="1" applyFill="1" applyBorder="1" applyAlignment="1">
      <alignment horizontal="center" vertical="center" wrapText="1"/>
    </xf>
    <xf numFmtId="0" fontId="5" fillId="8" borderId="1" xfId="0" applyFont="1" applyFill="1" applyBorder="1" applyAlignment="1">
      <alignment horizontal="center" vertical="center" wrapText="1"/>
    </xf>
    <xf numFmtId="0" fontId="5" fillId="8" borderId="1" xfId="0" applyFont="1" applyFill="1" applyBorder="1" applyAlignment="1">
      <alignment horizontal="left" vertical="center" wrapText="1" indent="1"/>
    </xf>
    <xf numFmtId="3" fontId="5" fillId="8" borderId="1" xfId="0" applyNumberFormat="1" applyFont="1" applyFill="1" applyBorder="1" applyAlignment="1">
      <alignment horizontal="right" vertical="center" wrapText="1"/>
    </xf>
    <xf numFmtId="0" fontId="4" fillId="0" borderId="1" xfId="0" applyFont="1" applyBorder="1" applyAlignment="1">
      <alignment vertical="center" wrapText="1"/>
    </xf>
    <xf numFmtId="3" fontId="5" fillId="0" borderId="1" xfId="0" applyNumberFormat="1" applyFont="1" applyBorder="1" applyAlignment="1">
      <alignment horizontal="right" vertical="center" wrapText="1"/>
    </xf>
    <xf numFmtId="43" fontId="0" fillId="0" borderId="0" xfId="2" applyFont="1"/>
    <xf numFmtId="0" fontId="7" fillId="4" borderId="1" xfId="0" applyFont="1" applyFill="1" applyBorder="1" applyAlignment="1">
      <alignment horizontal="center" vertical="center" wrapText="1"/>
    </xf>
    <xf numFmtId="0" fontId="5" fillId="4" borderId="1" xfId="0" applyFont="1" applyFill="1" applyBorder="1" applyAlignment="1">
      <alignment horizontal="center" vertical="center" wrapText="1"/>
    </xf>
    <xf numFmtId="10" fontId="11" fillId="3" borderId="11" xfId="0" applyNumberFormat="1" applyFont="1" applyFill="1" applyBorder="1" applyAlignment="1">
      <alignment horizontal="right" vertical="center"/>
    </xf>
    <xf numFmtId="0" fontId="0" fillId="0" borderId="22" xfId="0" applyBorder="1"/>
    <xf numFmtId="166" fontId="11" fillId="3" borderId="11" xfId="2" applyNumberFormat="1" applyFont="1" applyFill="1" applyBorder="1" applyAlignment="1">
      <alignment horizontal="right" vertical="center"/>
    </xf>
    <xf numFmtId="166" fontId="10" fillId="0" borderId="12" xfId="2" applyNumberFormat="1" applyFont="1" applyBorder="1" applyAlignment="1">
      <alignment vertical="center"/>
    </xf>
    <xf numFmtId="3" fontId="10" fillId="0" borderId="11" xfId="0" applyNumberFormat="1" applyFont="1" applyBorder="1" applyAlignment="1">
      <alignment horizontal="right" vertical="center"/>
    </xf>
    <xf numFmtId="0" fontId="11" fillId="0" borderId="0" xfId="0" applyFont="1" applyBorder="1" applyAlignment="1">
      <alignment vertical="center"/>
    </xf>
    <xf numFmtId="0" fontId="11" fillId="0" borderId="0" xfId="0" applyFont="1" applyBorder="1" applyAlignment="1">
      <alignment horizontal="right" vertical="center" wrapText="1"/>
    </xf>
    <xf numFmtId="166" fontId="10" fillId="0" borderId="11" xfId="2" applyNumberFormat="1" applyFont="1" applyBorder="1" applyAlignment="1">
      <alignment horizontal="right" vertical="center"/>
    </xf>
    <xf numFmtId="166" fontId="10" fillId="0" borderId="12" xfId="2" applyNumberFormat="1" applyFont="1" applyBorder="1" applyAlignment="1">
      <alignment horizontal="right" vertical="center"/>
    </xf>
    <xf numFmtId="166" fontId="10" fillId="0" borderId="11" xfId="0" applyNumberFormat="1" applyFont="1" applyBorder="1" applyAlignment="1">
      <alignment horizontal="right" vertical="center"/>
    </xf>
    <xf numFmtId="166" fontId="10" fillId="0" borderId="12" xfId="0" applyNumberFormat="1" applyFont="1" applyBorder="1" applyAlignment="1">
      <alignment horizontal="right" vertical="center"/>
    </xf>
    <xf numFmtId="3" fontId="10" fillId="0" borderId="12" xfId="0" applyNumberFormat="1" applyFont="1" applyBorder="1" applyAlignment="1">
      <alignment vertical="center"/>
    </xf>
    <xf numFmtId="2" fontId="11" fillId="3" borderId="3" xfId="0" applyNumberFormat="1" applyFont="1" applyFill="1" applyBorder="1" applyAlignment="1">
      <alignment horizontal="right" vertical="center"/>
    </xf>
    <xf numFmtId="0" fontId="2" fillId="0" borderId="1" xfId="0" applyFont="1" applyBorder="1"/>
    <xf numFmtId="0" fontId="2" fillId="0" borderId="23" xfId="0" applyFont="1" applyBorder="1"/>
    <xf numFmtId="0" fontId="2" fillId="0" borderId="23" xfId="0" applyFont="1" applyFill="1" applyBorder="1"/>
    <xf numFmtId="0" fontId="2" fillId="0" borderId="1" xfId="3" applyFont="1" applyBorder="1"/>
    <xf numFmtId="9" fontId="2" fillId="3" borderId="3" xfId="0" applyNumberFormat="1" applyFont="1" applyFill="1" applyBorder="1"/>
    <xf numFmtId="0" fontId="0" fillId="0" borderId="0" xfId="0" applyAlignment="1">
      <alignment horizontal="center"/>
    </xf>
    <xf numFmtId="0" fontId="16" fillId="11" borderId="1" xfId="4" applyFont="1" applyBorder="1" applyAlignment="1">
      <alignment horizontal="center" vertical="center"/>
    </xf>
    <xf numFmtId="0" fontId="16" fillId="11" borderId="1" xfId="4" applyFont="1" applyBorder="1" applyAlignment="1">
      <alignment horizontal="center" vertical="center" wrapText="1"/>
    </xf>
    <xf numFmtId="9" fontId="10" fillId="0" borderId="12" xfId="0" applyNumberFormat="1" applyFont="1" applyBorder="1" applyAlignment="1">
      <alignment horizontal="right" vertical="center"/>
    </xf>
    <xf numFmtId="43" fontId="10" fillId="0" borderId="12" xfId="2" applyNumberFormat="1" applyFont="1" applyBorder="1" applyAlignment="1">
      <alignment horizontal="right" vertical="center"/>
    </xf>
    <xf numFmtId="0" fontId="0" fillId="0" borderId="1" xfId="0" quotePrefix="1" applyBorder="1"/>
    <xf numFmtId="3" fontId="13" fillId="0" borderId="1" xfId="0" applyNumberFormat="1" applyFont="1" applyBorder="1" applyAlignment="1">
      <alignment horizontal="right" vertical="center"/>
    </xf>
    <xf numFmtId="43" fontId="10" fillId="0" borderId="0" xfId="2" applyNumberFormat="1" applyFont="1" applyBorder="1" applyAlignment="1">
      <alignment horizontal="right" vertical="center"/>
    </xf>
    <xf numFmtId="1" fontId="10" fillId="0" borderId="12" xfId="0" applyNumberFormat="1" applyFont="1" applyBorder="1" applyAlignment="1">
      <alignment vertical="center"/>
    </xf>
    <xf numFmtId="0" fontId="2" fillId="0" borderId="0" xfId="0" applyFont="1"/>
    <xf numFmtId="9" fontId="12" fillId="0" borderId="1" xfId="1" applyFont="1" applyBorder="1" applyAlignment="1">
      <alignment horizontal="center" vertical="center"/>
    </xf>
    <xf numFmtId="38" fontId="0" fillId="15" borderId="1" xfId="5" applyNumberFormat="1" applyFont="1" applyFill="1" applyBorder="1" applyAlignment="1">
      <alignment horizontal="center"/>
    </xf>
    <xf numFmtId="3" fontId="12" fillId="0" borderId="0" xfId="0" applyNumberFormat="1" applyFont="1" applyAlignment="1">
      <alignment horizontal="right" vertical="center"/>
    </xf>
    <xf numFmtId="40" fontId="0" fillId="15" borderId="0" xfId="5" applyNumberFormat="1" applyFont="1" applyFill="1" applyBorder="1" applyAlignment="1">
      <alignment horizontal="right"/>
    </xf>
    <xf numFmtId="164" fontId="0" fillId="15" borderId="0" xfId="5" applyFont="1" applyFill="1" applyBorder="1" applyAlignment="1">
      <alignment horizontal="right"/>
    </xf>
    <xf numFmtId="0" fontId="12" fillId="0" borderId="0" xfId="0" applyFont="1" applyAlignment="1">
      <alignment horizontal="center" vertical="center" wrapText="1"/>
    </xf>
    <xf numFmtId="10" fontId="12" fillId="0" borderId="0" xfId="0" applyNumberFormat="1" applyFont="1" applyAlignment="1">
      <alignment horizontal="center" vertical="center" wrapText="1"/>
    </xf>
    <xf numFmtId="0" fontId="13" fillId="0" borderId="0" xfId="0" applyFont="1" applyAlignment="1">
      <alignment horizontal="center" vertical="center" wrapText="1"/>
    </xf>
    <xf numFmtId="0" fontId="5" fillId="14" borderId="1" xfId="0" applyFont="1" applyFill="1" applyBorder="1" applyAlignment="1">
      <alignment horizontal="center" vertical="center" wrapText="1"/>
    </xf>
    <xf numFmtId="0" fontId="5" fillId="14" borderId="1" xfId="0" applyFont="1" applyFill="1" applyBorder="1" applyAlignment="1">
      <alignment horizontal="left" vertical="center" wrapText="1" indent="1"/>
    </xf>
    <xf numFmtId="0" fontId="0" fillId="0" borderId="0" xfId="0" applyAlignment="1">
      <alignment horizontal="center"/>
    </xf>
    <xf numFmtId="0" fontId="24" fillId="0" borderId="0" xfId="0" applyFont="1" applyAlignment="1">
      <alignment horizontal="justify" vertical="center"/>
    </xf>
    <xf numFmtId="0" fontId="5" fillId="10" borderId="1" xfId="0" applyFont="1" applyFill="1" applyBorder="1" applyAlignment="1">
      <alignment horizontal="center" vertical="center" wrapText="1"/>
    </xf>
    <xf numFmtId="0" fontId="5" fillId="10" borderId="29" xfId="0" applyFont="1" applyFill="1" applyBorder="1" applyAlignment="1">
      <alignment horizontal="center" vertical="center" wrapText="1"/>
    </xf>
    <xf numFmtId="3" fontId="5" fillId="10" borderId="30" xfId="0" applyNumberFormat="1" applyFont="1" applyFill="1" applyBorder="1" applyAlignment="1">
      <alignment horizontal="center" vertical="center" wrapText="1"/>
    </xf>
    <xf numFmtId="0" fontId="7" fillId="4" borderId="29" xfId="0" applyFont="1" applyFill="1" applyBorder="1" applyAlignment="1">
      <alignment horizontal="center" vertical="center" wrapText="1"/>
    </xf>
    <xf numFmtId="3" fontId="7" fillId="4" borderId="30" xfId="0" applyNumberFormat="1" applyFont="1" applyFill="1" applyBorder="1" applyAlignment="1">
      <alignment horizontal="center" vertical="center" wrapText="1"/>
    </xf>
    <xf numFmtId="0" fontId="7" fillId="0" borderId="29" xfId="0" applyFont="1" applyBorder="1" applyAlignment="1">
      <alignment horizontal="center" vertical="center" wrapText="1"/>
    </xf>
    <xf numFmtId="3" fontId="7" fillId="0" borderId="30" xfId="0" applyNumberFormat="1" applyFont="1" applyBorder="1" applyAlignment="1">
      <alignment horizontal="center" vertical="center" wrapText="1"/>
    </xf>
    <xf numFmtId="0" fontId="5" fillId="4" borderId="29" xfId="0" applyFont="1" applyFill="1" applyBorder="1" applyAlignment="1">
      <alignment horizontal="center" vertical="center" wrapText="1"/>
    </xf>
    <xf numFmtId="3" fontId="5" fillId="4" borderId="30" xfId="0" applyNumberFormat="1" applyFont="1" applyFill="1" applyBorder="1" applyAlignment="1">
      <alignment horizontal="center" vertical="center" wrapText="1"/>
    </xf>
    <xf numFmtId="0" fontId="4" fillId="9" borderId="31" xfId="0" applyFont="1" applyFill="1" applyBorder="1" applyAlignment="1">
      <alignment horizontal="center" vertical="center" wrapText="1"/>
    </xf>
    <xf numFmtId="0" fontId="5" fillId="9" borderId="32" xfId="0" applyFont="1" applyFill="1" applyBorder="1" applyAlignment="1">
      <alignment horizontal="center" vertical="center" wrapText="1"/>
    </xf>
    <xf numFmtId="3" fontId="5" fillId="9" borderId="33" xfId="0" applyNumberFormat="1" applyFont="1" applyFill="1" applyBorder="1" applyAlignment="1">
      <alignment horizontal="center" vertical="center" wrapText="1"/>
    </xf>
    <xf numFmtId="0" fontId="4" fillId="6" borderId="26" xfId="0" applyFont="1" applyFill="1" applyBorder="1" applyAlignment="1">
      <alignment horizontal="center" vertical="center" wrapText="1"/>
    </xf>
    <xf numFmtId="0" fontId="5" fillId="6" borderId="27" xfId="0" applyFont="1" applyFill="1" applyBorder="1" applyAlignment="1">
      <alignment horizontal="center" vertical="center" wrapText="1"/>
    </xf>
    <xf numFmtId="0" fontId="5" fillId="6" borderId="28" xfId="0" applyFont="1" applyFill="1" applyBorder="1" applyAlignment="1">
      <alignment horizontal="center" vertical="center" wrapText="1"/>
    </xf>
    <xf numFmtId="0" fontId="5" fillId="17" borderId="1" xfId="0" applyFont="1" applyFill="1" applyBorder="1" applyAlignment="1">
      <alignment horizontal="left" vertical="center" wrapText="1" indent="1"/>
    </xf>
    <xf numFmtId="0" fontId="22" fillId="17" borderId="1" xfId="0" applyFont="1" applyFill="1" applyBorder="1" applyAlignment="1">
      <alignment horizontal="center" vertical="center" wrapText="1"/>
    </xf>
    <xf numFmtId="0" fontId="23" fillId="0" borderId="1" xfId="0" applyFont="1" applyBorder="1" applyAlignment="1">
      <alignment horizontal="center" vertical="center" wrapText="1"/>
    </xf>
    <xf numFmtId="10" fontId="23" fillId="0" borderId="1" xfId="0" applyNumberFormat="1" applyFont="1" applyBorder="1" applyAlignment="1">
      <alignment horizontal="center" vertical="center" wrapText="1"/>
    </xf>
    <xf numFmtId="0" fontId="4" fillId="16" borderId="26" xfId="0" applyFont="1" applyFill="1" applyBorder="1" applyAlignment="1">
      <alignment vertical="center" wrapText="1"/>
    </xf>
    <xf numFmtId="0" fontId="5" fillId="16" borderId="27" xfId="0" applyFont="1" applyFill="1" applyBorder="1" applyAlignment="1">
      <alignment horizontal="left" vertical="center" wrapText="1" indent="1"/>
    </xf>
    <xf numFmtId="0" fontId="4" fillId="16" borderId="27" xfId="0" applyFont="1" applyFill="1" applyBorder="1" applyAlignment="1">
      <alignment vertical="center" wrapText="1"/>
    </xf>
    <xf numFmtId="0" fontId="5" fillId="16" borderId="28" xfId="0" applyFont="1" applyFill="1" applyBorder="1" applyAlignment="1">
      <alignment horizontal="center" vertical="center" wrapText="1"/>
    </xf>
    <xf numFmtId="0" fontId="5" fillId="14" borderId="29" xfId="0" applyFont="1" applyFill="1" applyBorder="1" applyAlignment="1">
      <alignment horizontal="center" vertical="center" wrapText="1"/>
    </xf>
    <xf numFmtId="3" fontId="5" fillId="14" borderId="30" xfId="0" applyNumberFormat="1" applyFont="1" applyFill="1" applyBorder="1" applyAlignment="1">
      <alignment horizontal="center" vertical="center" wrapText="1"/>
    </xf>
    <xf numFmtId="0" fontId="5" fillId="17" borderId="29" xfId="0" applyFont="1" applyFill="1" applyBorder="1" applyAlignment="1">
      <alignment horizontal="center" vertical="center" wrapText="1"/>
    </xf>
    <xf numFmtId="0" fontId="7" fillId="0" borderId="29" xfId="0" applyFont="1" applyBorder="1" applyAlignment="1">
      <alignment horizontal="left" vertical="center" wrapText="1" indent="1"/>
    </xf>
    <xf numFmtId="0" fontId="4" fillId="18" borderId="31" xfId="0" applyFont="1" applyFill="1" applyBorder="1" applyAlignment="1">
      <alignment vertical="center" wrapText="1"/>
    </xf>
    <xf numFmtId="0" fontId="5" fillId="18" borderId="32" xfId="0" applyFont="1" applyFill="1" applyBorder="1" applyAlignment="1">
      <alignment horizontal="left" vertical="center" wrapText="1" indent="1"/>
    </xf>
    <xf numFmtId="0" fontId="5" fillId="18" borderId="32" xfId="0" applyFont="1" applyFill="1" applyBorder="1" applyAlignment="1">
      <alignment horizontal="center" vertical="center" wrapText="1"/>
    </xf>
    <xf numFmtId="0" fontId="25" fillId="0" borderId="1" xfId="0" applyFont="1" applyBorder="1" applyAlignment="1">
      <alignment horizontal="left" vertical="center" wrapText="1" indent="1"/>
    </xf>
    <xf numFmtId="10" fontId="25" fillId="0" borderId="1" xfId="0" applyNumberFormat="1" applyFont="1" applyBorder="1" applyAlignment="1">
      <alignment horizontal="center" vertical="center" wrapText="1"/>
    </xf>
    <xf numFmtId="0" fontId="27" fillId="17" borderId="1" xfId="0" applyFont="1" applyFill="1" applyBorder="1" applyAlignment="1">
      <alignment horizontal="left" vertical="center" wrapText="1" indent="1"/>
    </xf>
    <xf numFmtId="0" fontId="27" fillId="17" borderId="1" xfId="0" applyFont="1" applyFill="1" applyBorder="1" applyAlignment="1">
      <alignment horizontal="center" vertical="center" wrapText="1"/>
    </xf>
    <xf numFmtId="165" fontId="0" fillId="0" borderId="1" xfId="0" applyNumberFormat="1" applyBorder="1" applyAlignment="1">
      <alignment horizontal="center"/>
    </xf>
    <xf numFmtId="0" fontId="2" fillId="0" borderId="0" xfId="0" applyFont="1" applyFill="1"/>
    <xf numFmtId="0" fontId="0" fillId="0" borderId="1" xfId="0" applyBorder="1" applyAlignment="1">
      <alignment horizontal="center" vertical="center"/>
    </xf>
    <xf numFmtId="0" fontId="2" fillId="14" borderId="1" xfId="0" applyFont="1" applyFill="1" applyBorder="1" applyAlignment="1">
      <alignment horizontal="center" vertical="center"/>
    </xf>
    <xf numFmtId="0" fontId="2" fillId="0" borderId="1" xfId="0" applyFont="1" applyBorder="1" applyAlignment="1">
      <alignment horizontal="center" vertical="center"/>
    </xf>
    <xf numFmtId="0" fontId="2" fillId="6" borderId="1" xfId="0" applyFont="1" applyFill="1" applyBorder="1" applyAlignment="1">
      <alignment horizontal="center" vertical="center"/>
    </xf>
    <xf numFmtId="0" fontId="2" fillId="7" borderId="1" xfId="0" applyFont="1" applyFill="1" applyBorder="1" applyAlignment="1">
      <alignment horizontal="center" vertical="center"/>
    </xf>
    <xf numFmtId="0" fontId="0" fillId="0" borderId="25" xfId="0" applyBorder="1" applyAlignment="1">
      <alignment horizontal="center" vertical="center"/>
    </xf>
    <xf numFmtId="3" fontId="12" fillId="0" borderId="1" xfId="0" applyNumberFormat="1" applyFont="1" applyBorder="1" applyAlignment="1">
      <alignment horizontal="center" vertical="center"/>
    </xf>
    <xf numFmtId="4" fontId="12" fillId="0" borderId="1" xfId="0" applyNumberFormat="1" applyFont="1" applyBorder="1" applyAlignment="1">
      <alignment horizontal="center" vertical="center"/>
    </xf>
    <xf numFmtId="3" fontId="13" fillId="14" borderId="1" xfId="0" applyNumberFormat="1" applyFont="1" applyFill="1" applyBorder="1" applyAlignment="1">
      <alignment horizontal="center" vertical="center"/>
    </xf>
    <xf numFmtId="3" fontId="13" fillId="0" borderId="1" xfId="0" applyNumberFormat="1" applyFont="1" applyBorder="1" applyAlignment="1">
      <alignment horizontal="center" vertical="center"/>
    </xf>
    <xf numFmtId="0" fontId="0" fillId="0" borderId="1" xfId="0" quotePrefix="1" applyBorder="1" applyAlignment="1">
      <alignment horizontal="center" vertical="center"/>
    </xf>
    <xf numFmtId="164" fontId="12" fillId="0" borderId="1" xfId="5" applyFont="1" applyBorder="1" applyAlignment="1">
      <alignment horizontal="center" vertical="center"/>
    </xf>
    <xf numFmtId="3" fontId="13" fillId="6" borderId="1" xfId="0" applyNumberFormat="1" applyFont="1" applyFill="1" applyBorder="1" applyAlignment="1">
      <alignment horizontal="center" vertical="center"/>
    </xf>
    <xf numFmtId="168" fontId="12" fillId="0" borderId="1" xfId="0" applyNumberFormat="1" applyFont="1" applyBorder="1" applyAlignment="1">
      <alignment horizontal="center" vertical="center"/>
    </xf>
    <xf numFmtId="3" fontId="13" fillId="7" borderId="1" xfId="0" applyNumberFormat="1" applyFont="1" applyFill="1" applyBorder="1" applyAlignment="1">
      <alignment horizontal="center" vertical="center"/>
    </xf>
    <xf numFmtId="169" fontId="12" fillId="0" borderId="1" xfId="0" applyNumberFormat="1" applyFont="1" applyBorder="1" applyAlignment="1">
      <alignment horizontal="center" vertical="center"/>
    </xf>
    <xf numFmtId="166" fontId="12" fillId="0" borderId="1" xfId="5" applyNumberFormat="1" applyFont="1" applyBorder="1" applyAlignment="1">
      <alignment horizontal="center" vertical="center"/>
    </xf>
    <xf numFmtId="0" fontId="0" fillId="0" borderId="24" xfId="0" applyBorder="1" applyAlignment="1">
      <alignment horizontal="center" vertical="center"/>
    </xf>
    <xf numFmtId="3" fontId="12" fillId="0" borderId="24" xfId="0" applyNumberFormat="1" applyFont="1" applyBorder="1" applyAlignment="1">
      <alignment horizontal="center" vertical="center"/>
    </xf>
    <xf numFmtId="0" fontId="20" fillId="0" borderId="26" xfId="3" applyFont="1" applyBorder="1" applyAlignment="1">
      <alignment horizontal="center" vertical="center"/>
    </xf>
    <xf numFmtId="3" fontId="12" fillId="0" borderId="22" xfId="0" applyNumberFormat="1" applyFont="1" applyBorder="1" applyAlignment="1">
      <alignment horizontal="center" vertical="center"/>
    </xf>
    <xf numFmtId="0" fontId="20" fillId="0" borderId="29" xfId="0" applyFont="1" applyBorder="1" applyAlignment="1">
      <alignment horizontal="center" vertical="center"/>
    </xf>
    <xf numFmtId="0" fontId="20" fillId="0" borderId="31" xfId="0" applyFont="1" applyBorder="1" applyAlignment="1">
      <alignment horizontal="center" vertical="center"/>
    </xf>
    <xf numFmtId="2" fontId="0" fillId="0" borderId="1" xfId="0" applyNumberFormat="1" applyBorder="1" applyAlignment="1">
      <alignment horizontal="center"/>
    </xf>
    <xf numFmtId="0" fontId="0" fillId="12" borderId="1" xfId="0" applyFill="1" applyBorder="1" applyAlignment="1">
      <alignment horizontal="center" vertical="center"/>
    </xf>
    <xf numFmtId="0" fontId="0" fillId="13" borderId="1" xfId="0" applyFill="1" applyBorder="1" applyAlignment="1">
      <alignment horizontal="center" vertical="center"/>
    </xf>
    <xf numFmtId="167" fontId="18" fillId="0" borderId="1" xfId="2" applyNumberFormat="1" applyFont="1" applyBorder="1" applyAlignment="1">
      <alignment horizontal="center" vertical="center"/>
    </xf>
    <xf numFmtId="167" fontId="19" fillId="0" borderId="1" xfId="2" applyNumberFormat="1" applyFont="1" applyBorder="1" applyAlignment="1">
      <alignment horizontal="center" vertical="center"/>
    </xf>
    <xf numFmtId="0" fontId="0" fillId="2" borderId="1" xfId="0" applyFill="1" applyBorder="1" applyAlignment="1">
      <alignment horizontal="center" vertical="center"/>
    </xf>
    <xf numFmtId="1" fontId="0" fillId="0" borderId="1" xfId="0" applyNumberFormat="1" applyBorder="1" applyAlignment="1">
      <alignment horizontal="center" vertical="center"/>
    </xf>
    <xf numFmtId="167" fontId="0" fillId="0" borderId="1" xfId="0" applyNumberFormat="1" applyBorder="1" applyAlignment="1">
      <alignment horizontal="center" vertical="center"/>
    </xf>
    <xf numFmtId="0" fontId="28" fillId="0" borderId="0" xfId="0" applyFont="1" applyAlignment="1">
      <alignment horizontal="justify" vertical="center"/>
    </xf>
    <xf numFmtId="0" fontId="29" fillId="0" borderId="0" xfId="0" applyFont="1" applyAlignment="1">
      <alignment horizontal="justify" vertical="center"/>
    </xf>
    <xf numFmtId="0" fontId="2" fillId="0" borderId="1" xfId="0" applyFont="1" applyFill="1" applyBorder="1" applyAlignment="1">
      <alignment horizontal="center" vertical="center"/>
    </xf>
    <xf numFmtId="3" fontId="13" fillId="0" borderId="1" xfId="0" applyNumberFormat="1" applyFont="1" applyFill="1" applyBorder="1" applyAlignment="1">
      <alignment horizontal="center" vertical="center"/>
    </xf>
    <xf numFmtId="0" fontId="0" fillId="14" borderId="1" xfId="0" applyFill="1" applyBorder="1" applyAlignment="1">
      <alignment horizontal="center" vertical="center"/>
    </xf>
    <xf numFmtId="3" fontId="12" fillId="14" borderId="1" xfId="0" applyNumberFormat="1" applyFont="1" applyFill="1" applyBorder="1" applyAlignment="1">
      <alignment horizontal="center" vertical="center"/>
    </xf>
    <xf numFmtId="9" fontId="12" fillId="14" borderId="1" xfId="1" applyFont="1" applyFill="1" applyBorder="1" applyAlignment="1">
      <alignment horizontal="center" vertical="center"/>
    </xf>
    <xf numFmtId="0" fontId="0" fillId="14" borderId="0" xfId="0" applyFill="1"/>
    <xf numFmtId="0" fontId="2" fillId="14" borderId="1" xfId="0" applyFont="1" applyFill="1" applyBorder="1" applyAlignment="1">
      <alignment horizontal="left" vertical="center"/>
    </xf>
    <xf numFmtId="0" fontId="0" fillId="0" borderId="0" xfId="0" applyAlignment="1">
      <alignment horizontal="left"/>
    </xf>
    <xf numFmtId="0" fontId="0" fillId="14" borderId="1" xfId="0" applyFill="1" applyBorder="1" applyAlignment="1">
      <alignment horizontal="left" vertical="center"/>
    </xf>
    <xf numFmtId="0" fontId="16" fillId="14" borderId="1" xfId="4" applyFont="1" applyFill="1" applyBorder="1" applyAlignment="1">
      <alignment horizontal="center" vertical="center"/>
    </xf>
    <xf numFmtId="0" fontId="0" fillId="14" borderId="0" xfId="0" applyFill="1" applyAlignment="1">
      <alignment horizontal="left"/>
    </xf>
    <xf numFmtId="0" fontId="16" fillId="14" borderId="1" xfId="4" applyFont="1" applyFill="1" applyBorder="1" applyAlignment="1">
      <alignment horizontal="center" vertical="center" wrapText="1"/>
    </xf>
    <xf numFmtId="0" fontId="2" fillId="14" borderId="0" xfId="0" applyFont="1" applyFill="1"/>
    <xf numFmtId="164" fontId="0" fillId="0" borderId="0" xfId="0" applyNumberFormat="1"/>
    <xf numFmtId="2" fontId="13" fillId="0" borderId="1" xfId="0" applyNumberFormat="1" applyFont="1" applyFill="1" applyBorder="1" applyAlignment="1">
      <alignment horizontal="center" vertical="center"/>
    </xf>
    <xf numFmtId="0" fontId="2" fillId="2" borderId="0" xfId="0" applyFont="1" applyFill="1" applyAlignment="1">
      <alignment horizontal="center"/>
    </xf>
    <xf numFmtId="3" fontId="5" fillId="17" borderId="34" xfId="0" applyNumberFormat="1" applyFont="1" applyFill="1" applyBorder="1" applyAlignment="1">
      <alignment horizontal="center" vertical="center" wrapText="1"/>
    </xf>
    <xf numFmtId="3" fontId="7" fillId="0" borderId="25" xfId="0" applyNumberFormat="1" applyFont="1" applyBorder="1" applyAlignment="1">
      <alignment horizontal="center" vertical="center" wrapText="1"/>
    </xf>
    <xf numFmtId="3" fontId="5" fillId="17" borderId="35" xfId="0" applyNumberFormat="1" applyFont="1" applyFill="1" applyBorder="1" applyAlignment="1">
      <alignment horizontal="center" vertical="center" wrapText="1"/>
    </xf>
    <xf numFmtId="3" fontId="5" fillId="17" borderId="25" xfId="0" applyNumberFormat="1" applyFont="1" applyFill="1" applyBorder="1" applyAlignment="1">
      <alignment horizontal="center" vertical="center" wrapText="1"/>
    </xf>
    <xf numFmtId="0" fontId="7" fillId="0" borderId="25" xfId="0" applyFont="1" applyBorder="1" applyAlignment="1">
      <alignment horizontal="center" vertical="center" wrapText="1"/>
    </xf>
    <xf numFmtId="2" fontId="13" fillId="14" borderId="1" xfId="0" applyNumberFormat="1" applyFont="1" applyFill="1" applyBorder="1" applyAlignment="1">
      <alignment horizontal="center" vertical="center"/>
    </xf>
    <xf numFmtId="9" fontId="0" fillId="0" borderId="1" xfId="0" applyNumberFormat="1" applyBorder="1" applyAlignment="1">
      <alignment horizontal="center"/>
    </xf>
    <xf numFmtId="3" fontId="7" fillId="0" borderId="1" xfId="0" applyNumberFormat="1" applyFont="1" applyBorder="1" applyAlignment="1">
      <alignment horizontal="center" vertical="center" wrapText="1"/>
    </xf>
    <xf numFmtId="0" fontId="5" fillId="17" borderId="1" xfId="0" applyFont="1" applyFill="1" applyBorder="1" applyAlignment="1">
      <alignment horizontal="center" vertical="center" wrapText="1"/>
    </xf>
    <xf numFmtId="3" fontId="5" fillId="17" borderId="1" xfId="0" applyNumberFormat="1" applyFont="1" applyFill="1" applyBorder="1" applyAlignment="1">
      <alignment horizontal="center" vertical="center" wrapText="1"/>
    </xf>
    <xf numFmtId="165" fontId="0" fillId="17" borderId="1" xfId="0" applyNumberFormat="1" applyFill="1" applyBorder="1" applyAlignment="1">
      <alignment horizontal="center"/>
    </xf>
    <xf numFmtId="170" fontId="12" fillId="0" borderId="1" xfId="1" applyNumberFormat="1" applyFont="1" applyBorder="1" applyAlignment="1">
      <alignment horizontal="center" vertical="center"/>
    </xf>
    <xf numFmtId="3" fontId="12" fillId="0" borderId="1" xfId="0" applyNumberFormat="1" applyFont="1" applyBorder="1" applyAlignment="1">
      <alignment vertical="center"/>
    </xf>
    <xf numFmtId="166" fontId="13" fillId="0" borderId="28" xfId="5" applyNumberFormat="1" applyFont="1" applyFill="1" applyBorder="1" applyAlignment="1">
      <alignment horizontal="center" vertical="center"/>
    </xf>
    <xf numFmtId="0" fontId="16" fillId="11" borderId="1" xfId="4" applyFont="1" applyBorder="1" applyAlignment="1">
      <alignment horizontal="center" vertical="center"/>
    </xf>
    <xf numFmtId="164" fontId="12" fillId="0" borderId="1" xfId="5" applyNumberFormat="1" applyFont="1" applyBorder="1" applyAlignment="1">
      <alignment horizontal="center" vertical="center"/>
    </xf>
    <xf numFmtId="164" fontId="12" fillId="0" borderId="1" xfId="0" applyNumberFormat="1" applyFont="1" applyBorder="1" applyAlignment="1">
      <alignment horizontal="center" vertical="center"/>
    </xf>
    <xf numFmtId="164" fontId="12" fillId="0" borderId="1" xfId="0" applyNumberFormat="1" applyFont="1" applyBorder="1" applyAlignment="1">
      <alignment vertical="center"/>
    </xf>
    <xf numFmtId="164" fontId="12" fillId="0" borderId="1" xfId="5" applyNumberFormat="1" applyFont="1" applyBorder="1" applyAlignment="1">
      <alignment vertical="center"/>
    </xf>
    <xf numFmtId="40" fontId="0" fillId="15" borderId="0" xfId="5" applyNumberFormat="1" applyFont="1" applyFill="1" applyBorder="1" applyAlignment="1">
      <alignment horizontal="center"/>
    </xf>
    <xf numFmtId="164" fontId="0" fillId="15" borderId="0" xfId="5" applyFont="1" applyFill="1" applyBorder="1" applyAlignment="1">
      <alignment horizontal="center"/>
    </xf>
    <xf numFmtId="9" fontId="12" fillId="14" borderId="1" xfId="1" applyFont="1" applyFill="1" applyBorder="1" applyAlignment="1">
      <alignment vertical="center"/>
    </xf>
    <xf numFmtId="3" fontId="13" fillId="0" borderId="1" xfId="0" applyNumberFormat="1" applyFont="1" applyBorder="1" applyAlignment="1">
      <alignment vertical="center"/>
    </xf>
    <xf numFmtId="0" fontId="5" fillId="16" borderId="35" xfId="0" applyFont="1" applyFill="1" applyBorder="1" applyAlignment="1">
      <alignment horizontal="center" vertical="center" wrapText="1"/>
    </xf>
    <xf numFmtId="3" fontId="5" fillId="14" borderId="25" xfId="0" applyNumberFormat="1" applyFont="1" applyFill="1" applyBorder="1" applyAlignment="1">
      <alignment horizontal="center" vertical="center" wrapText="1"/>
    </xf>
    <xf numFmtId="0" fontId="5" fillId="16" borderId="36" xfId="0" applyFont="1" applyFill="1" applyBorder="1" applyAlignment="1">
      <alignment horizontal="center" vertical="center" wrapText="1"/>
    </xf>
    <xf numFmtId="165" fontId="0" fillId="17" borderId="22" xfId="0" applyNumberFormat="1" applyFill="1" applyBorder="1" applyAlignment="1">
      <alignment horizontal="center"/>
    </xf>
    <xf numFmtId="165" fontId="0" fillId="0" borderId="22" xfId="0" applyNumberFormat="1" applyBorder="1" applyAlignment="1">
      <alignment horizontal="center"/>
    </xf>
    <xf numFmtId="3" fontId="5" fillId="17" borderId="37" xfId="0" applyNumberFormat="1" applyFont="1" applyFill="1" applyBorder="1" applyAlignment="1">
      <alignment horizontal="center" vertical="center" wrapText="1"/>
    </xf>
    <xf numFmtId="3" fontId="5" fillId="18" borderId="1" xfId="0" applyNumberFormat="1" applyFont="1" applyFill="1" applyBorder="1" applyAlignment="1">
      <alignment horizontal="center" vertical="center" wrapText="1"/>
    </xf>
    <xf numFmtId="0" fontId="0" fillId="0" borderId="0" xfId="0"/>
    <xf numFmtId="0" fontId="0" fillId="0" borderId="1" xfId="0" applyBorder="1" applyAlignment="1">
      <alignment horizontal="center" vertical="center"/>
    </xf>
    <xf numFmtId="0" fontId="2" fillId="0" borderId="1" xfId="0" applyFont="1" applyBorder="1" applyAlignment="1">
      <alignment horizontal="center" vertical="center"/>
    </xf>
    <xf numFmtId="2" fontId="0" fillId="0" borderId="1" xfId="0" applyNumberFormat="1" applyBorder="1" applyAlignment="1">
      <alignment horizontal="center" vertical="center"/>
    </xf>
    <xf numFmtId="0" fontId="4" fillId="18" borderId="40" xfId="0" applyFont="1" applyFill="1" applyBorder="1" applyAlignment="1">
      <alignment vertical="center" wrapText="1"/>
    </xf>
    <xf numFmtId="0" fontId="5" fillId="18" borderId="24" xfId="0" applyFont="1" applyFill="1" applyBorder="1" applyAlignment="1">
      <alignment horizontal="left" vertical="center" wrapText="1" indent="1"/>
    </xf>
    <xf numFmtId="0" fontId="5" fillId="18" borderId="24" xfId="0" applyFont="1" applyFill="1" applyBorder="1" applyAlignment="1">
      <alignment horizontal="center" vertical="center" wrapText="1"/>
    </xf>
    <xf numFmtId="3" fontId="5" fillId="18" borderId="34" xfId="0" applyNumberFormat="1" applyFont="1" applyFill="1" applyBorder="1" applyAlignment="1">
      <alignment horizontal="center" vertical="center" wrapText="1"/>
    </xf>
    <xf numFmtId="1" fontId="2" fillId="17" borderId="39" xfId="0" applyNumberFormat="1" applyFont="1" applyFill="1" applyBorder="1" applyAlignment="1">
      <alignment horizontal="center"/>
    </xf>
    <xf numFmtId="0" fontId="4" fillId="18" borderId="1" xfId="0" applyFont="1" applyFill="1" applyBorder="1" applyAlignment="1">
      <alignment vertical="center" wrapText="1"/>
    </xf>
    <xf numFmtId="0" fontId="5" fillId="18" borderId="1" xfId="0" applyFont="1" applyFill="1" applyBorder="1" applyAlignment="1">
      <alignment horizontal="left" vertical="center" wrapText="1" indent="1"/>
    </xf>
    <xf numFmtId="0" fontId="5" fillId="18" borderId="1" xfId="0" applyFont="1" applyFill="1" applyBorder="1" applyAlignment="1">
      <alignment horizontal="center" vertical="center" wrapText="1"/>
    </xf>
    <xf numFmtId="1" fontId="0" fillId="0" borderId="0" xfId="0" applyNumberFormat="1"/>
    <xf numFmtId="0" fontId="2" fillId="2" borderId="1" xfId="0" applyFont="1" applyFill="1" applyBorder="1" applyAlignment="1">
      <alignment horizontal="left"/>
    </xf>
    <xf numFmtId="0" fontId="5" fillId="16" borderId="1" xfId="0" applyFont="1" applyFill="1" applyBorder="1" applyAlignment="1">
      <alignment horizontal="left" vertical="center" wrapText="1"/>
    </xf>
    <xf numFmtId="3" fontId="5" fillId="14" borderId="1" xfId="0" applyNumberFormat="1" applyFont="1" applyFill="1" applyBorder="1" applyAlignment="1">
      <alignment horizontal="left" vertical="center" wrapText="1"/>
    </xf>
    <xf numFmtId="3" fontId="5" fillId="17" borderId="1" xfId="0" applyNumberFormat="1" applyFont="1" applyFill="1" applyBorder="1" applyAlignment="1">
      <alignment horizontal="left" vertical="center" wrapText="1"/>
    </xf>
    <xf numFmtId="3" fontId="7" fillId="0" borderId="1" xfId="0" applyNumberFormat="1" applyFont="1" applyBorder="1" applyAlignment="1">
      <alignment horizontal="left" vertical="center" wrapText="1"/>
    </xf>
    <xf numFmtId="0" fontId="7" fillId="0" borderId="1" xfId="0" applyFont="1" applyBorder="1" applyAlignment="1">
      <alignment horizontal="left" vertical="center" wrapText="1"/>
    </xf>
    <xf numFmtId="3" fontId="5" fillId="18" borderId="1" xfId="0" applyNumberFormat="1" applyFont="1" applyFill="1" applyBorder="1" applyAlignment="1">
      <alignment horizontal="left" vertical="center" wrapText="1"/>
    </xf>
    <xf numFmtId="3" fontId="5" fillId="18" borderId="1" xfId="0" applyNumberFormat="1" applyFont="1" applyFill="1" applyBorder="1" applyAlignment="1">
      <alignment vertical="center" wrapText="1"/>
    </xf>
    <xf numFmtId="0" fontId="4" fillId="16" borderId="41" xfId="0" applyFont="1" applyFill="1" applyBorder="1" applyAlignment="1">
      <alignment vertical="center" wrapText="1"/>
    </xf>
    <xf numFmtId="0" fontId="5" fillId="16" borderId="4" xfId="0" applyFont="1" applyFill="1" applyBorder="1" applyAlignment="1">
      <alignment horizontal="left" vertical="center" wrapText="1" indent="1"/>
    </xf>
    <xf numFmtId="0" fontId="4" fillId="16" borderId="4" xfId="0" applyFont="1" applyFill="1" applyBorder="1" applyAlignment="1">
      <alignment vertical="center" wrapText="1"/>
    </xf>
    <xf numFmtId="0" fontId="5" fillId="16" borderId="4" xfId="0" applyFont="1" applyFill="1" applyBorder="1" applyAlignment="1">
      <alignment horizontal="left" vertical="center" wrapText="1"/>
    </xf>
    <xf numFmtId="0" fontId="0" fillId="0" borderId="4" xfId="0" applyBorder="1" applyAlignment="1">
      <alignment horizontal="left"/>
    </xf>
    <xf numFmtId="0" fontId="29" fillId="0" borderId="0" xfId="0" applyFont="1"/>
    <xf numFmtId="0" fontId="32" fillId="19" borderId="18" xfId="0" applyFont="1" applyFill="1" applyBorder="1" applyAlignment="1">
      <alignment horizontal="center" vertical="center" wrapText="1"/>
    </xf>
    <xf numFmtId="0" fontId="32" fillId="19" borderId="12" xfId="0" applyFont="1" applyFill="1" applyBorder="1" applyAlignment="1">
      <alignment horizontal="center" vertical="center" wrapText="1"/>
    </xf>
    <xf numFmtId="0" fontId="33" fillId="0" borderId="11" xfId="0" applyFont="1" applyBorder="1" applyAlignment="1">
      <alignment horizontal="center" vertical="center"/>
    </xf>
    <xf numFmtId="0" fontId="33" fillId="0" borderId="12" xfId="0" applyFont="1" applyBorder="1" applyAlignment="1">
      <alignment horizontal="center" vertical="center" wrapText="1"/>
    </xf>
    <xf numFmtId="0" fontId="33" fillId="17" borderId="12" xfId="0" applyFont="1" applyFill="1" applyBorder="1" applyAlignment="1">
      <alignment horizontal="center" vertical="center" wrapText="1"/>
    </xf>
    <xf numFmtId="0" fontId="33" fillId="0" borderId="12" xfId="0" applyFont="1" applyFill="1" applyBorder="1" applyAlignment="1">
      <alignment horizontal="center" vertical="center" wrapText="1"/>
    </xf>
    <xf numFmtId="0" fontId="33" fillId="20" borderId="12" xfId="0" applyFont="1" applyFill="1" applyBorder="1" applyAlignment="1">
      <alignment horizontal="center" vertical="center" wrapText="1"/>
    </xf>
    <xf numFmtId="0" fontId="33" fillId="21" borderId="11" xfId="0" applyFont="1" applyFill="1" applyBorder="1" applyAlignment="1">
      <alignment horizontal="center" vertical="center"/>
    </xf>
    <xf numFmtId="0" fontId="32" fillId="21" borderId="12" xfId="0" applyFont="1" applyFill="1" applyBorder="1" applyAlignment="1">
      <alignment horizontal="center" vertical="center" wrapText="1"/>
    </xf>
    <xf numFmtId="0" fontId="33" fillId="21" borderId="12" xfId="0" applyFont="1" applyFill="1" applyBorder="1" applyAlignment="1">
      <alignment horizontal="center" vertical="center" wrapText="1"/>
    </xf>
    <xf numFmtId="0" fontId="29" fillId="21" borderId="12" xfId="0" applyFont="1" applyFill="1" applyBorder="1" applyAlignment="1">
      <alignment horizontal="center" vertical="center" wrapText="1"/>
    </xf>
    <xf numFmtId="0" fontId="33" fillId="20" borderId="11" xfId="0" applyFont="1" applyFill="1" applyBorder="1" applyAlignment="1">
      <alignment horizontal="center" vertical="center"/>
    </xf>
    <xf numFmtId="0" fontId="32" fillId="0" borderId="12" xfId="0" applyFont="1" applyBorder="1" applyAlignment="1">
      <alignment horizontal="center" vertical="center" wrapText="1"/>
    </xf>
    <xf numFmtId="0" fontId="33" fillId="0" borderId="11" xfId="0" applyFont="1" applyBorder="1" applyAlignment="1">
      <alignment horizontal="center" vertical="center" wrapText="1"/>
    </xf>
    <xf numFmtId="0" fontId="33" fillId="17" borderId="11" xfId="0" applyFont="1" applyFill="1" applyBorder="1" applyAlignment="1">
      <alignment horizontal="center" vertical="center" wrapText="1"/>
    </xf>
    <xf numFmtId="0" fontId="33" fillId="21" borderId="11" xfId="0" applyFont="1" applyFill="1" applyBorder="1" applyAlignment="1">
      <alignment horizontal="center" vertical="center" wrapText="1"/>
    </xf>
    <xf numFmtId="0" fontId="29" fillId="0" borderId="12" xfId="0" applyFont="1" applyBorder="1" applyAlignment="1">
      <alignment horizontal="center"/>
    </xf>
    <xf numFmtId="1" fontId="7" fillId="0" borderId="25" xfId="0" applyNumberFormat="1" applyFont="1" applyBorder="1" applyAlignment="1">
      <alignment horizontal="center" vertical="center" wrapText="1"/>
    </xf>
    <xf numFmtId="165" fontId="25" fillId="0" borderId="1" xfId="0" applyNumberFormat="1" applyFont="1" applyBorder="1" applyAlignment="1">
      <alignment horizontal="center" vertical="center" wrapText="1"/>
    </xf>
    <xf numFmtId="4" fontId="7" fillId="0" borderId="25" xfId="0" applyNumberFormat="1" applyFont="1" applyBorder="1" applyAlignment="1">
      <alignment horizontal="center" vertical="center" wrapText="1"/>
    </xf>
    <xf numFmtId="2" fontId="0" fillId="0" borderId="0" xfId="0" applyNumberFormat="1"/>
    <xf numFmtId="0" fontId="0" fillId="0" borderId="0" xfId="0" applyAlignment="1">
      <alignment vertical="center" wrapText="1"/>
    </xf>
    <xf numFmtId="0" fontId="32" fillId="25" borderId="12" xfId="0" applyFont="1" applyFill="1" applyBorder="1" applyAlignment="1">
      <alignment horizontal="center" vertical="center"/>
    </xf>
    <xf numFmtId="0" fontId="32" fillId="26" borderId="50" xfId="0" applyFont="1" applyFill="1" applyBorder="1" applyAlignment="1">
      <alignment horizontal="center" vertical="center"/>
    </xf>
    <xf numFmtId="0" fontId="32" fillId="0" borderId="11" xfId="0" applyFont="1" applyBorder="1" applyAlignment="1">
      <alignment horizontal="center" vertical="center" wrapText="1"/>
    </xf>
    <xf numFmtId="0" fontId="32" fillId="27" borderId="13" xfId="0" applyFont="1" applyFill="1" applyBorder="1" applyAlignment="1">
      <alignment vertical="center"/>
    </xf>
    <xf numFmtId="0" fontId="33" fillId="29" borderId="13" xfId="0" applyFont="1" applyFill="1" applyBorder="1" applyAlignment="1">
      <alignment vertical="center"/>
    </xf>
    <xf numFmtId="0" fontId="33" fillId="29" borderId="12" xfId="0" applyFont="1" applyFill="1" applyBorder="1" applyAlignment="1">
      <alignment vertical="center"/>
    </xf>
    <xf numFmtId="0" fontId="33" fillId="29" borderId="12" xfId="0" applyFont="1" applyFill="1" applyBorder="1" applyAlignment="1">
      <alignment horizontal="center" vertical="center"/>
    </xf>
    <xf numFmtId="1" fontId="33" fillId="29" borderId="12" xfId="0" applyNumberFormat="1" applyFont="1" applyFill="1" applyBorder="1" applyAlignment="1">
      <alignment horizontal="center" vertical="center"/>
    </xf>
    <xf numFmtId="0" fontId="33" fillId="27" borderId="12" xfId="0" applyFont="1" applyFill="1" applyBorder="1" applyAlignment="1">
      <alignment horizontal="center" vertical="center"/>
    </xf>
    <xf numFmtId="0" fontId="0" fillId="27" borderId="3" xfId="0" applyFill="1" applyBorder="1" applyAlignment="1">
      <alignment vertical="center"/>
    </xf>
    <xf numFmtId="0" fontId="0" fillId="27" borderId="10" xfId="0" applyFill="1" applyBorder="1" applyAlignment="1">
      <alignment vertical="center"/>
    </xf>
    <xf numFmtId="1" fontId="19" fillId="27" borderId="10" xfId="0" applyNumberFormat="1" applyFont="1" applyFill="1" applyBorder="1" applyAlignment="1">
      <alignment horizontal="center" vertical="center"/>
    </xf>
    <xf numFmtId="0" fontId="33" fillId="29" borderId="13" xfId="0" applyFont="1" applyFill="1" applyBorder="1" applyAlignment="1">
      <alignment vertical="center" wrapText="1"/>
    </xf>
    <xf numFmtId="0" fontId="35" fillId="29" borderId="12" xfId="0" applyFont="1" applyFill="1" applyBorder="1" applyAlignment="1">
      <alignment horizontal="center" vertical="center"/>
    </xf>
    <xf numFmtId="0" fontId="12" fillId="29" borderId="13" xfId="0" applyFont="1" applyFill="1" applyBorder="1" applyAlignment="1">
      <alignment vertical="center" wrapText="1"/>
    </xf>
    <xf numFmtId="0" fontId="33" fillId="29" borderId="13" xfId="0" applyFont="1" applyFill="1" applyBorder="1" applyAlignment="1">
      <alignment horizontal="center" vertical="center"/>
    </xf>
    <xf numFmtId="0" fontId="32" fillId="30" borderId="13" xfId="0" applyFont="1" applyFill="1" applyBorder="1" applyAlignment="1">
      <alignment vertical="center"/>
    </xf>
    <xf numFmtId="1" fontId="32" fillId="30" borderId="13" xfId="0" applyNumberFormat="1" applyFont="1" applyFill="1" applyBorder="1" applyAlignment="1">
      <alignment horizontal="center" vertical="center"/>
    </xf>
    <xf numFmtId="0" fontId="32" fillId="30" borderId="11" xfId="0" applyFont="1" applyFill="1" applyBorder="1" applyAlignment="1">
      <alignment horizontal="center" vertical="center" wrapText="1"/>
    </xf>
    <xf numFmtId="0" fontId="29" fillId="0" borderId="13" xfId="0" applyFont="1" applyBorder="1" applyAlignment="1">
      <alignment vertical="center" wrapText="1"/>
    </xf>
    <xf numFmtId="0" fontId="33" fillId="29" borderId="12" xfId="0" applyFont="1" applyFill="1" applyBorder="1" applyAlignment="1">
      <alignment horizontal="center" vertical="center" wrapText="1"/>
    </xf>
    <xf numFmtId="0" fontId="33" fillId="30" borderId="13" xfId="0" applyFont="1" applyFill="1" applyBorder="1" applyAlignment="1">
      <alignment horizontal="center" vertical="center"/>
    </xf>
    <xf numFmtId="0" fontId="18" fillId="30" borderId="13" xfId="0" applyFont="1" applyFill="1" applyBorder="1" applyAlignment="1">
      <alignment horizontal="center" vertical="center"/>
    </xf>
    <xf numFmtId="0" fontId="18" fillId="30" borderId="13" xfId="0" applyFont="1" applyFill="1" applyBorder="1" applyAlignment="1">
      <alignment vertical="center"/>
    </xf>
    <xf numFmtId="0" fontId="18" fillId="0" borderId="11" xfId="0" applyFont="1" applyBorder="1" applyAlignment="1">
      <alignment horizontal="center" vertical="center" wrapText="1"/>
    </xf>
    <xf numFmtId="0" fontId="19" fillId="30" borderId="13" xfId="0" applyFont="1" applyFill="1" applyBorder="1" applyAlignment="1">
      <alignment horizontal="center" vertical="center"/>
    </xf>
    <xf numFmtId="0" fontId="19" fillId="29" borderId="12" xfId="0" applyFont="1" applyFill="1" applyBorder="1" applyAlignment="1">
      <alignment horizontal="center" vertical="center" wrapText="1"/>
    </xf>
    <xf numFmtId="0" fontId="19" fillId="0" borderId="13" xfId="0" applyFont="1" applyBorder="1" applyAlignment="1">
      <alignment vertical="center" wrapText="1"/>
    </xf>
    <xf numFmtId="0" fontId="19" fillId="0" borderId="11" xfId="0" applyFont="1" applyBorder="1" applyAlignment="1">
      <alignment horizontal="center" vertical="center" wrapText="1"/>
    </xf>
    <xf numFmtId="0" fontId="19" fillId="29" borderId="12" xfId="0" applyFont="1" applyFill="1" applyBorder="1" applyAlignment="1">
      <alignment horizontal="center" vertical="center"/>
    </xf>
    <xf numFmtId="0" fontId="18" fillId="30" borderId="11" xfId="0" applyFont="1" applyFill="1" applyBorder="1" applyAlignment="1">
      <alignment horizontal="center" vertical="center" wrapText="1"/>
    </xf>
    <xf numFmtId="0" fontId="19" fillId="29" borderId="13" xfId="0" applyFont="1" applyFill="1" applyBorder="1" applyAlignment="1">
      <alignment horizontal="center" vertical="center"/>
    </xf>
    <xf numFmtId="0" fontId="19" fillId="29" borderId="13" xfId="0" applyFont="1" applyFill="1" applyBorder="1" applyAlignment="1">
      <alignment vertical="center"/>
    </xf>
    <xf numFmtId="0" fontId="35" fillId="29" borderId="13" xfId="0" applyFont="1" applyFill="1" applyBorder="1" applyAlignment="1">
      <alignment vertical="center" wrapText="1"/>
    </xf>
    <xf numFmtId="0" fontId="19" fillId="29" borderId="13" xfId="0" applyFont="1" applyFill="1" applyBorder="1" applyAlignment="1">
      <alignment vertical="center" wrapText="1"/>
    </xf>
    <xf numFmtId="0" fontId="19" fillId="27" borderId="12" xfId="0" applyFont="1" applyFill="1" applyBorder="1" applyAlignment="1">
      <alignment horizontal="center" vertical="center"/>
    </xf>
    <xf numFmtId="0" fontId="35" fillId="27" borderId="50" xfId="0" applyFont="1" applyFill="1" applyBorder="1" applyAlignment="1">
      <alignment vertical="center"/>
    </xf>
    <xf numFmtId="0" fontId="19" fillId="27" borderId="50" xfId="0" applyFont="1" applyFill="1" applyBorder="1" applyAlignment="1">
      <alignment horizontal="center" vertical="center"/>
    </xf>
    <xf numFmtId="0" fontId="19" fillId="29" borderId="12" xfId="0" applyFont="1" applyFill="1" applyBorder="1" applyAlignment="1">
      <alignment vertical="center"/>
    </xf>
    <xf numFmtId="0" fontId="18" fillId="27" borderId="13" xfId="0" applyFont="1" applyFill="1" applyBorder="1" applyAlignment="1">
      <alignment vertical="center"/>
    </xf>
    <xf numFmtId="0" fontId="18" fillId="26" borderId="50" xfId="0" applyFont="1" applyFill="1" applyBorder="1" applyAlignment="1">
      <alignment horizontal="center" vertical="center"/>
    </xf>
    <xf numFmtId="0" fontId="18" fillId="25" borderId="12" xfId="0" applyFont="1" applyFill="1" applyBorder="1" applyAlignment="1">
      <alignment horizontal="center" vertical="center"/>
    </xf>
    <xf numFmtId="2" fontId="32" fillId="30" borderId="13" xfId="0" applyNumberFormat="1" applyFont="1" applyFill="1" applyBorder="1" applyAlignment="1">
      <alignment horizontal="center" vertical="center"/>
    </xf>
    <xf numFmtId="0" fontId="38" fillId="31" borderId="1" xfId="0" applyFont="1" applyFill="1" applyBorder="1" applyAlignment="1">
      <alignment horizontal="center" vertical="center"/>
    </xf>
    <xf numFmtId="2" fontId="38" fillId="31" borderId="1" xfId="0" applyNumberFormat="1" applyFont="1" applyFill="1" applyBorder="1" applyAlignment="1">
      <alignment horizontal="center" vertical="center"/>
    </xf>
    <xf numFmtId="0" fontId="39" fillId="0" borderId="1" xfId="0" applyFont="1" applyBorder="1" applyAlignment="1">
      <alignment horizontal="center" vertical="center"/>
    </xf>
    <xf numFmtId="0" fontId="40" fillId="0" borderId="1" xfId="9" applyFont="1" applyBorder="1" applyAlignment="1">
      <alignment horizontal="center" vertical="center"/>
    </xf>
    <xf numFmtId="0" fontId="0" fillId="0" borderId="1" xfId="0" applyBorder="1" applyAlignment="1">
      <alignment horizontal="center"/>
    </xf>
    <xf numFmtId="0" fontId="39" fillId="17" borderId="1" xfId="0" applyFont="1" applyFill="1" applyBorder="1" applyAlignment="1">
      <alignment horizontal="center" vertical="center"/>
    </xf>
    <xf numFmtId="0" fontId="5" fillId="6" borderId="36" xfId="0" applyFont="1" applyFill="1" applyBorder="1" applyAlignment="1">
      <alignment horizontal="center" vertical="center" wrapText="1"/>
    </xf>
    <xf numFmtId="0" fontId="5" fillId="10" borderId="25" xfId="0" applyFont="1" applyFill="1" applyBorder="1" applyAlignment="1">
      <alignment horizontal="center" vertical="center" wrapText="1"/>
    </xf>
    <xf numFmtId="0" fontId="7" fillId="4" borderId="25" xfId="0" applyFont="1" applyFill="1" applyBorder="1" applyAlignment="1">
      <alignment horizontal="center" vertical="center" wrapText="1"/>
    </xf>
    <xf numFmtId="0" fontId="5" fillId="4" borderId="25" xfId="0" applyFont="1" applyFill="1" applyBorder="1" applyAlignment="1">
      <alignment horizontal="center" vertical="center" wrapText="1"/>
    </xf>
    <xf numFmtId="0" fontId="5" fillId="9" borderId="59" xfId="0" applyFont="1" applyFill="1" applyBorder="1" applyAlignment="1">
      <alignment horizontal="center" vertical="center" wrapText="1"/>
    </xf>
    <xf numFmtId="9" fontId="7" fillId="0" borderId="25" xfId="1" applyFont="1" applyBorder="1" applyAlignment="1">
      <alignment horizontal="center" vertical="center" wrapText="1"/>
    </xf>
    <xf numFmtId="9" fontId="7" fillId="0" borderId="25" xfId="1" applyNumberFormat="1" applyFont="1" applyBorder="1" applyAlignment="1">
      <alignment horizontal="center" vertical="center" wrapText="1"/>
    </xf>
    <xf numFmtId="9" fontId="5" fillId="4" borderId="25" xfId="1" applyFont="1" applyFill="1" applyBorder="1" applyAlignment="1">
      <alignment horizontal="center" vertical="center" wrapText="1"/>
    </xf>
    <xf numFmtId="10" fontId="13" fillId="0" borderId="30" xfId="0" applyNumberFormat="1" applyFont="1" applyBorder="1" applyAlignment="1">
      <alignment vertical="center"/>
    </xf>
    <xf numFmtId="164" fontId="20" fillId="0" borderId="33" xfId="5" applyFont="1" applyFill="1" applyBorder="1" applyAlignment="1">
      <alignment vertical="center"/>
    </xf>
    <xf numFmtId="0" fontId="37" fillId="17" borderId="1" xfId="0" applyFont="1" applyFill="1" applyBorder="1" applyAlignment="1">
      <alignment horizontal="center" vertical="center"/>
    </xf>
    <xf numFmtId="0" fontId="38" fillId="17" borderId="1" xfId="0" applyFont="1" applyFill="1" applyBorder="1" applyAlignment="1">
      <alignment horizontal="center" vertical="center"/>
    </xf>
    <xf numFmtId="0" fontId="37" fillId="31" borderId="1" xfId="0" applyFont="1" applyFill="1" applyBorder="1" applyAlignment="1">
      <alignment vertical="center"/>
    </xf>
    <xf numFmtId="2" fontId="32" fillId="0" borderId="12" xfId="0" applyNumberFormat="1" applyFont="1" applyBorder="1" applyAlignment="1">
      <alignment horizontal="center" vertical="center" wrapText="1"/>
    </xf>
    <xf numFmtId="0" fontId="37" fillId="17" borderId="23" xfId="0" applyFont="1" applyFill="1" applyBorder="1" applyAlignment="1">
      <alignment horizontal="center" vertical="center"/>
    </xf>
    <xf numFmtId="0" fontId="0" fillId="2" borderId="0" xfId="0" applyFill="1"/>
    <xf numFmtId="0" fontId="0" fillId="31" borderId="0" xfId="0" applyFill="1"/>
    <xf numFmtId="0" fontId="33" fillId="0" borderId="14" xfId="0" applyFont="1" applyBorder="1" applyAlignment="1">
      <alignment horizontal="center" vertical="center" wrapText="1"/>
    </xf>
    <xf numFmtId="0" fontId="33" fillId="0" borderId="15" xfId="0" applyFont="1" applyBorder="1" applyAlignment="1">
      <alignment horizontal="center" vertical="center" wrapText="1"/>
    </xf>
    <xf numFmtId="0" fontId="33" fillId="0" borderId="18" xfId="0" applyFont="1" applyBorder="1" applyAlignment="1">
      <alignment horizontal="center" vertical="center" wrapText="1"/>
    </xf>
    <xf numFmtId="0" fontId="33" fillId="0" borderId="17" xfId="0" applyFont="1" applyBorder="1" applyAlignment="1">
      <alignment horizontal="center" vertical="center" wrapText="1"/>
    </xf>
    <xf numFmtId="0" fontId="33" fillId="0" borderId="13" xfId="0" applyFont="1" applyBorder="1" applyAlignment="1">
      <alignment horizontal="center" vertical="center" wrapText="1"/>
    </xf>
    <xf numFmtId="0" fontId="33" fillId="0" borderId="12" xfId="0" applyFont="1" applyBorder="1" applyAlignment="1">
      <alignment horizontal="center" vertical="center" wrapText="1"/>
    </xf>
    <xf numFmtId="0" fontId="31" fillId="22" borderId="21" xfId="0" applyFont="1" applyFill="1" applyBorder="1" applyAlignment="1">
      <alignment horizontal="center"/>
    </xf>
    <xf numFmtId="0" fontId="31" fillId="22" borderId="19" xfId="0" applyFont="1" applyFill="1" applyBorder="1" applyAlignment="1">
      <alignment horizontal="center"/>
    </xf>
    <xf numFmtId="0" fontId="31" fillId="22" borderId="10" xfId="0" applyFont="1" applyFill="1" applyBorder="1" applyAlignment="1">
      <alignment horizontal="center"/>
    </xf>
    <xf numFmtId="0" fontId="32" fillId="19" borderId="20" xfId="0" applyFont="1" applyFill="1" applyBorder="1" applyAlignment="1">
      <alignment horizontal="center" vertical="center" wrapText="1"/>
    </xf>
    <xf numFmtId="0" fontId="32" fillId="19" borderId="11" xfId="0" applyFont="1" applyFill="1" applyBorder="1" applyAlignment="1">
      <alignment horizontal="center" vertical="center" wrapText="1"/>
    </xf>
    <xf numFmtId="0" fontId="33" fillId="19" borderId="20" xfId="0" applyFont="1" applyFill="1" applyBorder="1" applyAlignment="1">
      <alignment horizontal="center" vertical="center"/>
    </xf>
    <xf numFmtId="0" fontId="33" fillId="19" borderId="11" xfId="0" applyFont="1" applyFill="1" applyBorder="1" applyAlignment="1">
      <alignment horizontal="center" vertical="center"/>
    </xf>
    <xf numFmtId="0" fontId="33" fillId="19" borderId="20" xfId="0" applyFont="1" applyFill="1" applyBorder="1" applyAlignment="1">
      <alignment horizontal="center" vertical="center" wrapText="1"/>
    </xf>
    <xf numFmtId="0" fontId="33" fillId="19" borderId="11" xfId="0" applyFont="1" applyFill="1" applyBorder="1" applyAlignment="1">
      <alignment horizontal="center" vertical="center" wrapText="1"/>
    </xf>
    <xf numFmtId="0" fontId="2" fillId="23" borderId="1" xfId="0" applyFont="1" applyFill="1" applyBorder="1" applyAlignment="1">
      <alignment horizontal="center"/>
    </xf>
    <xf numFmtId="0" fontId="2" fillId="17" borderId="1" xfId="0" applyFont="1" applyFill="1" applyBorder="1" applyAlignment="1">
      <alignment horizontal="center"/>
    </xf>
    <xf numFmtId="0" fontId="2" fillId="17" borderId="24" xfId="0" applyFont="1" applyFill="1" applyBorder="1" applyAlignment="1">
      <alignment horizontal="center"/>
    </xf>
    <xf numFmtId="0" fontId="2" fillId="17" borderId="25" xfId="0" applyFont="1" applyFill="1" applyBorder="1" applyAlignment="1">
      <alignment horizontal="center" vertical="center"/>
    </xf>
    <xf numFmtId="0" fontId="2" fillId="17" borderId="38" xfId="0" applyFont="1" applyFill="1" applyBorder="1" applyAlignment="1">
      <alignment horizontal="center" vertical="center"/>
    </xf>
    <xf numFmtId="0" fontId="2" fillId="4" borderId="25" xfId="0" applyFont="1" applyFill="1" applyBorder="1" applyAlignment="1">
      <alignment horizontal="center" vertical="center"/>
    </xf>
    <xf numFmtId="0" fontId="2" fillId="4" borderId="38" xfId="0" applyFont="1" applyFill="1" applyBorder="1" applyAlignment="1">
      <alignment horizontal="center" vertical="center"/>
    </xf>
    <xf numFmtId="0" fontId="2" fillId="4" borderId="22" xfId="0" applyFont="1" applyFill="1" applyBorder="1" applyAlignment="1">
      <alignment horizontal="center" vertical="center"/>
    </xf>
    <xf numFmtId="0" fontId="13" fillId="0" borderId="0" xfId="0" applyFont="1" applyAlignment="1">
      <alignment horizontal="center" vertical="center" wrapText="1"/>
    </xf>
    <xf numFmtId="0" fontId="16" fillId="11" borderId="1" xfId="4" applyFont="1" applyBorder="1" applyAlignment="1">
      <alignment horizontal="center" vertical="center"/>
    </xf>
    <xf numFmtId="0" fontId="13" fillId="0" borderId="0" xfId="0" applyFont="1" applyAlignment="1">
      <alignment horizontal="center" vertical="center"/>
    </xf>
    <xf numFmtId="0" fontId="21" fillId="0" borderId="0" xfId="0" applyFont="1" applyAlignment="1">
      <alignment horizontal="right" vertical="center"/>
    </xf>
    <xf numFmtId="0" fontId="0" fillId="5" borderId="6" xfId="0" applyFill="1" applyBorder="1" applyAlignment="1">
      <alignment horizontal="center"/>
    </xf>
    <xf numFmtId="0" fontId="0" fillId="5" borderId="7" xfId="0" applyFill="1" applyBorder="1" applyAlignment="1">
      <alignment horizontal="center"/>
    </xf>
    <xf numFmtId="0" fontId="0" fillId="5" borderId="8" xfId="0" applyFill="1" applyBorder="1" applyAlignment="1">
      <alignment horizontal="center"/>
    </xf>
    <xf numFmtId="0" fontId="0" fillId="4" borderId="16" xfId="0" applyFill="1" applyBorder="1" applyAlignment="1">
      <alignment horizontal="center"/>
    </xf>
    <xf numFmtId="0" fontId="0" fillId="4" borderId="0" xfId="0" applyFill="1" applyBorder="1" applyAlignment="1">
      <alignment horizontal="center"/>
    </xf>
    <xf numFmtId="0" fontId="19" fillId="28" borderId="0" xfId="0" applyFont="1" applyFill="1" applyAlignment="1">
      <alignment horizontal="center" vertical="center"/>
    </xf>
    <xf numFmtId="0" fontId="19" fillId="28" borderId="53" xfId="0" applyFont="1" applyFill="1" applyBorder="1" applyAlignment="1">
      <alignment horizontal="center" vertical="center"/>
    </xf>
    <xf numFmtId="0" fontId="19" fillId="28" borderId="13" xfId="0" applyFont="1" applyFill="1" applyBorder="1" applyAlignment="1">
      <alignment horizontal="center" vertical="center"/>
    </xf>
    <xf numFmtId="0" fontId="19" fillId="28" borderId="56" xfId="0" applyFont="1" applyFill="1" applyBorder="1" applyAlignment="1">
      <alignment horizontal="center" vertical="center"/>
    </xf>
    <xf numFmtId="0" fontId="19" fillId="0" borderId="21" xfId="0" applyFont="1" applyBorder="1" applyAlignment="1">
      <alignment horizontal="center" vertical="center" wrapText="1"/>
    </xf>
    <xf numFmtId="0" fontId="19" fillId="0" borderId="58" xfId="0" applyFont="1" applyBorder="1" applyAlignment="1">
      <alignment horizontal="center" vertical="center" wrapText="1"/>
    </xf>
    <xf numFmtId="0" fontId="35" fillId="0" borderId="54" xfId="0" applyFont="1" applyBorder="1" applyAlignment="1">
      <alignment vertical="center"/>
    </xf>
    <xf numFmtId="0" fontId="35" fillId="0" borderId="57" xfId="0" applyFont="1" applyBorder="1" applyAlignment="1">
      <alignment vertical="center"/>
    </xf>
    <xf numFmtId="0" fontId="18" fillId="24" borderId="14" xfId="0" applyFont="1" applyFill="1" applyBorder="1" applyAlignment="1">
      <alignment horizontal="center" vertical="center"/>
    </xf>
    <xf numFmtId="0" fontId="18" fillId="24" borderId="42" xfId="0" applyFont="1" applyFill="1" applyBorder="1" applyAlignment="1">
      <alignment horizontal="center" vertical="center"/>
    </xf>
    <xf numFmtId="0" fontId="18" fillId="24" borderId="44" xfId="0" applyFont="1" applyFill="1" applyBorder="1" applyAlignment="1">
      <alignment horizontal="center" vertical="center"/>
    </xf>
    <xf numFmtId="0" fontId="18" fillId="24" borderId="45" xfId="0" applyFont="1" applyFill="1" applyBorder="1" applyAlignment="1">
      <alignment horizontal="center" vertical="center"/>
    </xf>
    <xf numFmtId="0" fontId="18" fillId="24" borderId="43" xfId="0" applyFont="1" applyFill="1" applyBorder="1" applyAlignment="1">
      <alignment horizontal="center" vertical="center" wrapText="1"/>
    </xf>
    <xf numFmtId="0" fontId="18" fillId="24" borderId="15" xfId="0" applyFont="1" applyFill="1" applyBorder="1" applyAlignment="1">
      <alignment horizontal="center" vertical="center" wrapText="1"/>
    </xf>
    <xf numFmtId="0" fontId="18" fillId="24" borderId="42" xfId="0" applyFont="1" applyFill="1" applyBorder="1" applyAlignment="1">
      <alignment horizontal="center" vertical="center" wrapText="1"/>
    </xf>
    <xf numFmtId="0" fontId="18" fillId="24" borderId="46" xfId="0" applyFont="1" applyFill="1" applyBorder="1" applyAlignment="1">
      <alignment horizontal="center" vertical="center" wrapText="1"/>
    </xf>
    <xf numFmtId="0" fontId="18" fillId="24" borderId="47" xfId="0" applyFont="1" applyFill="1" applyBorder="1" applyAlignment="1">
      <alignment horizontal="center" vertical="center" wrapText="1"/>
    </xf>
    <xf numFmtId="0" fontId="18" fillId="24" borderId="45" xfId="0" applyFont="1" applyFill="1" applyBorder="1" applyAlignment="1">
      <alignment horizontal="center" vertical="center" wrapText="1"/>
    </xf>
    <xf numFmtId="0" fontId="19" fillId="0" borderId="48" xfId="0" applyFont="1" applyBorder="1" applyAlignment="1">
      <alignment horizontal="center" vertical="center" wrapText="1"/>
    </xf>
    <xf numFmtId="0" fontId="19" fillId="0" borderId="49" xfId="0" applyFont="1" applyBorder="1" applyAlignment="1">
      <alignment horizontal="center" vertical="center" wrapText="1"/>
    </xf>
    <xf numFmtId="0" fontId="19" fillId="0" borderId="44" xfId="0" applyFont="1" applyBorder="1" applyAlignment="1">
      <alignment horizontal="center" vertical="center" wrapText="1"/>
    </xf>
    <xf numFmtId="0" fontId="19" fillId="0" borderId="45" xfId="0" applyFont="1" applyBorder="1" applyAlignment="1">
      <alignment horizontal="center" vertical="center" wrapText="1"/>
    </xf>
    <xf numFmtId="0" fontId="19" fillId="28" borderId="14" xfId="0" applyFont="1" applyFill="1" applyBorder="1" applyAlignment="1">
      <alignment horizontal="center" vertical="center"/>
    </xf>
    <xf numFmtId="0" fontId="19" fillId="28" borderId="15" xfId="0" applyFont="1" applyFill="1" applyBorder="1" applyAlignment="1">
      <alignment horizontal="center" vertical="center"/>
    </xf>
    <xf numFmtId="0" fontId="19" fillId="28" borderId="17" xfId="0" applyFont="1" applyFill="1" applyBorder="1" applyAlignment="1">
      <alignment horizontal="center" vertical="center"/>
    </xf>
    <xf numFmtId="0" fontId="19" fillId="0" borderId="20" xfId="0" applyFont="1" applyBorder="1" applyAlignment="1">
      <alignment horizontal="center" vertical="center" wrapText="1"/>
    </xf>
    <xf numFmtId="0" fontId="19" fillId="0" borderId="51" xfId="0" applyFont="1" applyBorder="1" applyAlignment="1">
      <alignment horizontal="center" vertical="center" wrapText="1"/>
    </xf>
    <xf numFmtId="0" fontId="19" fillId="0" borderId="52" xfId="0" applyFont="1" applyBorder="1" applyAlignment="1">
      <alignment horizontal="center" vertical="center" wrapText="1"/>
    </xf>
    <xf numFmtId="0" fontId="33" fillId="28" borderId="16" xfId="0" applyFont="1" applyFill="1" applyBorder="1" applyAlignment="1">
      <alignment horizontal="center" vertical="center"/>
    </xf>
    <xf numFmtId="0" fontId="33" fillId="28" borderId="53" xfId="0" applyFont="1" applyFill="1" applyBorder="1" applyAlignment="1">
      <alignment horizontal="center" vertical="center"/>
    </xf>
    <xf numFmtId="0" fontId="33" fillId="28" borderId="17" xfId="0" applyFont="1" applyFill="1" applyBorder="1" applyAlignment="1">
      <alignment horizontal="center" vertical="center"/>
    </xf>
    <xf numFmtId="0" fontId="33" fillId="28" borderId="56" xfId="0" applyFont="1" applyFill="1" applyBorder="1" applyAlignment="1">
      <alignment horizontal="center" vertical="center"/>
    </xf>
    <xf numFmtId="0" fontId="33" fillId="0" borderId="21" xfId="0" applyFont="1" applyBorder="1" applyAlignment="1">
      <alignment horizontal="center" vertical="center" wrapText="1"/>
    </xf>
    <xf numFmtId="0" fontId="33" fillId="0" borderId="10" xfId="0" applyFont="1" applyBorder="1" applyAlignment="1">
      <alignment horizontal="center" vertical="center" wrapText="1"/>
    </xf>
    <xf numFmtId="0" fontId="0" fillId="0" borderId="54" xfId="0" applyBorder="1" applyAlignment="1">
      <alignment vertical="center"/>
    </xf>
    <xf numFmtId="0" fontId="0" fillId="0" borderId="55" xfId="0" applyBorder="1" applyAlignment="1">
      <alignment vertical="center"/>
    </xf>
    <xf numFmtId="0" fontId="32" fillId="24" borderId="14" xfId="0" applyFont="1" applyFill="1" applyBorder="1" applyAlignment="1">
      <alignment horizontal="center" vertical="center"/>
    </xf>
    <xf numFmtId="0" fontId="32" fillId="24" borderId="42" xfId="0" applyFont="1" applyFill="1" applyBorder="1" applyAlignment="1">
      <alignment horizontal="center" vertical="center"/>
    </xf>
    <xf numFmtId="0" fontId="32" fillId="24" borderId="44" xfId="0" applyFont="1" applyFill="1" applyBorder="1" applyAlignment="1">
      <alignment horizontal="center" vertical="center"/>
    </xf>
    <xf numFmtId="0" fontId="32" fillId="24" borderId="45" xfId="0" applyFont="1" applyFill="1" applyBorder="1" applyAlignment="1">
      <alignment horizontal="center" vertical="center"/>
    </xf>
    <xf numFmtId="0" fontId="32" fillId="24" borderId="43" xfId="0" applyFont="1" applyFill="1" applyBorder="1" applyAlignment="1">
      <alignment horizontal="center" vertical="center" wrapText="1"/>
    </xf>
    <xf numFmtId="0" fontId="32" fillId="24" borderId="15" xfId="0" applyFont="1" applyFill="1" applyBorder="1" applyAlignment="1">
      <alignment horizontal="center" vertical="center" wrapText="1"/>
    </xf>
    <xf numFmtId="0" fontId="32" fillId="24" borderId="42" xfId="0" applyFont="1" applyFill="1" applyBorder="1" applyAlignment="1">
      <alignment horizontal="center" vertical="center" wrapText="1"/>
    </xf>
    <xf numFmtId="0" fontId="32" fillId="24" borderId="46" xfId="0" applyFont="1" applyFill="1" applyBorder="1" applyAlignment="1">
      <alignment horizontal="center" vertical="center" wrapText="1"/>
    </xf>
    <xf numFmtId="0" fontId="32" fillId="24" borderId="47" xfId="0" applyFont="1" applyFill="1" applyBorder="1" applyAlignment="1">
      <alignment horizontal="center" vertical="center" wrapText="1"/>
    </xf>
    <xf numFmtId="0" fontId="32" fillId="24" borderId="45" xfId="0" applyFont="1" applyFill="1" applyBorder="1" applyAlignment="1">
      <alignment horizontal="center" vertical="center" wrapText="1"/>
    </xf>
    <xf numFmtId="0" fontId="33" fillId="0" borderId="48" xfId="0" applyFont="1" applyBorder="1" applyAlignment="1">
      <alignment horizontal="center" vertical="center" wrapText="1"/>
    </xf>
    <xf numFmtId="0" fontId="33" fillId="0" borderId="49" xfId="0" applyFont="1" applyBorder="1" applyAlignment="1">
      <alignment horizontal="center" vertical="center" wrapText="1"/>
    </xf>
    <xf numFmtId="0" fontId="33" fillId="0" borderId="44" xfId="0" applyFont="1" applyBorder="1" applyAlignment="1">
      <alignment horizontal="center" vertical="center" wrapText="1"/>
    </xf>
    <xf numFmtId="0" fontId="33" fillId="0" borderId="45" xfId="0" applyFont="1" applyBorder="1" applyAlignment="1">
      <alignment horizontal="center" vertical="center" wrapText="1"/>
    </xf>
    <xf numFmtId="0" fontId="33" fillId="28" borderId="14" xfId="0" applyFont="1" applyFill="1" applyBorder="1" applyAlignment="1">
      <alignment horizontal="center" vertical="center"/>
    </xf>
    <xf numFmtId="0" fontId="33" fillId="28" borderId="15" xfId="0" applyFont="1" applyFill="1" applyBorder="1" applyAlignment="1">
      <alignment horizontal="center" vertical="center"/>
    </xf>
    <xf numFmtId="0" fontId="33" fillId="28" borderId="13" xfId="0" applyFont="1" applyFill="1" applyBorder="1" applyAlignment="1">
      <alignment horizontal="center" vertical="center"/>
    </xf>
    <xf numFmtId="0" fontId="33" fillId="0" borderId="20" xfId="0" applyFont="1" applyBorder="1" applyAlignment="1">
      <alignment horizontal="center" vertical="center" wrapText="1"/>
    </xf>
    <xf numFmtId="0" fontId="33" fillId="0" borderId="51" xfId="0" applyFont="1" applyBorder="1" applyAlignment="1">
      <alignment horizontal="center" vertical="center" wrapText="1"/>
    </xf>
    <xf numFmtId="0" fontId="33" fillId="0" borderId="52" xfId="0" applyFont="1" applyBorder="1" applyAlignment="1">
      <alignment horizontal="center" vertical="center" wrapText="1"/>
    </xf>
    <xf numFmtId="0" fontId="37" fillId="17" borderId="1" xfId="0" applyFont="1" applyFill="1" applyBorder="1" applyAlignment="1">
      <alignment horizontal="center" vertical="center"/>
    </xf>
    <xf numFmtId="2" fontId="35" fillId="29" borderId="12" xfId="0" applyNumberFormat="1" applyFont="1" applyFill="1" applyBorder="1" applyAlignment="1">
      <alignment horizontal="center" vertical="center"/>
    </xf>
    <xf numFmtId="2" fontId="33" fillId="29" borderId="12" xfId="0" applyNumberFormat="1" applyFont="1" applyFill="1" applyBorder="1" applyAlignment="1">
      <alignment horizontal="center" vertical="center"/>
    </xf>
    <xf numFmtId="2" fontId="33" fillId="30" borderId="13" xfId="0" applyNumberFormat="1" applyFont="1" applyFill="1" applyBorder="1" applyAlignment="1">
      <alignment horizontal="center" vertical="center"/>
    </xf>
  </cellXfs>
  <cellStyles count="10">
    <cellStyle name="Accent1" xfId="4" builtinId="29"/>
    <cellStyle name="Comma" xfId="2" builtinId="3"/>
    <cellStyle name="Comma 2" xfId="5" xr:uid="{B7A75283-3F15-42B7-B8CB-BE075E266E2B}"/>
    <cellStyle name="Comma 3" xfId="6" xr:uid="{8C7462D3-380D-4849-B264-4FC167D4102D}"/>
    <cellStyle name="Hyperlink" xfId="3" builtinId="8"/>
    <cellStyle name="Normal" xfId="0" builtinId="0"/>
    <cellStyle name="Normal 2 2" xfId="7" xr:uid="{E09E753C-9F3B-403C-ADC4-4D95A127E9EB}"/>
    <cellStyle name="Normal 3" xfId="8" xr:uid="{627A28B3-0831-4297-9BCA-00DEEBA596DA}"/>
    <cellStyle name="Normal 8" xfId="9" xr:uid="{9B990EAE-6A5A-4025-8AE3-91A763184499}"/>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292100</xdr:colOff>
      <xdr:row>29</xdr:row>
      <xdr:rowOff>180974</xdr:rowOff>
    </xdr:to>
    <xdr:pic>
      <xdr:nvPicPr>
        <xdr:cNvPr id="2" name="Graphic 1">
          <a:extLst>
            <a:ext uri="{FF2B5EF4-FFF2-40B4-BE49-F238E27FC236}">
              <a16:creationId xmlns:a16="http://schemas.microsoft.com/office/drawing/2014/main" id="{BF1CDF1B-09B3-41F8-A839-3505D1C3A10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0" y="0"/>
          <a:ext cx="7607300" cy="570547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5.bin"/><Relationship Id="rId1" Type="http://schemas.openxmlformats.org/officeDocument/2006/relationships/hyperlink" Target="mailto:NPV@12%25"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6.bin"/><Relationship Id="rId1" Type="http://schemas.openxmlformats.org/officeDocument/2006/relationships/hyperlink" Target="mailto:NPV@12%25" TargetMode="External"/><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FD474-79F2-4DD6-8E27-7FE40A0C5059}">
  <dimension ref="A1"/>
  <sheetViews>
    <sheetView showGridLines="0" workbookViewId="0">
      <selection activeCell="Q11" sqref="Q11"/>
    </sheetView>
  </sheetViews>
  <sheetFormatPr defaultRowHeight="1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10BF92-02E3-480A-BA4F-B48A49BEA477}">
  <dimension ref="A1:G23"/>
  <sheetViews>
    <sheetView showGridLines="0" workbookViewId="0">
      <selection activeCell="C7" sqref="C7:C9"/>
    </sheetView>
  </sheetViews>
  <sheetFormatPr defaultRowHeight="15"/>
  <cols>
    <col min="1" max="1" width="9.140625" style="205"/>
    <col min="2" max="2" width="36.28515625" style="205" customWidth="1"/>
    <col min="3" max="3" width="9.140625" style="205"/>
    <col min="4" max="4" width="12.85546875" style="205" customWidth="1"/>
    <col min="5" max="16384" width="9.140625" style="205"/>
  </cols>
  <sheetData>
    <row r="1" spans="1:7">
      <c r="A1" s="360" t="s">
        <v>288</v>
      </c>
      <c r="B1" s="361"/>
      <c r="C1" s="364" t="s">
        <v>356</v>
      </c>
      <c r="D1" s="365"/>
      <c r="E1" s="366"/>
      <c r="F1" s="253"/>
      <c r="G1" s="253"/>
    </row>
    <row r="2" spans="1:7" ht="15.75" thickBot="1">
      <c r="A2" s="362"/>
      <c r="B2" s="363"/>
      <c r="C2" s="367"/>
      <c r="D2" s="368"/>
      <c r="E2" s="369"/>
      <c r="G2" s="253"/>
    </row>
    <row r="3" spans="1:7" ht="15.75" thickBot="1">
      <c r="A3" s="370"/>
      <c r="B3" s="371"/>
      <c r="C3" s="295" t="s">
        <v>290</v>
      </c>
      <c r="D3" s="295" t="s">
        <v>0</v>
      </c>
      <c r="E3" s="295" t="s">
        <v>291</v>
      </c>
      <c r="F3" s="253"/>
      <c r="G3" s="253"/>
    </row>
    <row r="4" spans="1:7" ht="15.75" thickBot="1">
      <c r="A4" s="372"/>
      <c r="B4" s="373"/>
      <c r="C4" s="294" t="s">
        <v>292</v>
      </c>
      <c r="D4" s="294" t="s">
        <v>293</v>
      </c>
      <c r="E4" s="294" t="s">
        <v>294</v>
      </c>
      <c r="F4" s="253"/>
      <c r="G4" s="253"/>
    </row>
    <row r="5" spans="1:7" ht="15.75" thickBot="1">
      <c r="A5" s="278" t="s">
        <v>1</v>
      </c>
      <c r="B5" s="293" t="s">
        <v>295</v>
      </c>
      <c r="C5" s="374"/>
      <c r="D5" s="375"/>
      <c r="E5" s="375"/>
      <c r="F5" s="253"/>
      <c r="G5" s="253"/>
    </row>
    <row r="6" spans="1:7" ht="15.75" thickBot="1">
      <c r="A6" s="377">
        <v>1</v>
      </c>
      <c r="B6" s="286" t="s">
        <v>296</v>
      </c>
      <c r="C6" s="376"/>
      <c r="D6" s="354"/>
      <c r="E6" s="354"/>
      <c r="F6" s="253"/>
      <c r="G6" s="253"/>
    </row>
    <row r="7" spans="1:7" ht="15.75" thickBot="1">
      <c r="A7" s="378"/>
      <c r="B7" s="292" t="s">
        <v>312</v>
      </c>
      <c r="C7" s="283">
        <v>0.7</v>
      </c>
      <c r="D7" s="283">
        <v>1625</v>
      </c>
      <c r="E7" s="283">
        <v>1137.5</v>
      </c>
      <c r="F7" s="253"/>
      <c r="G7" s="253"/>
    </row>
    <row r="8" spans="1:7" ht="15.75" thickBot="1">
      <c r="A8" s="378"/>
      <c r="B8" s="292" t="s">
        <v>311</v>
      </c>
      <c r="C8" s="283">
        <v>0.56000000000000005</v>
      </c>
      <c r="D8" s="283">
        <v>1825.53</v>
      </c>
      <c r="E8" s="283">
        <v>1022.29</v>
      </c>
      <c r="F8" s="253"/>
      <c r="G8" s="253"/>
    </row>
    <row r="9" spans="1:7" ht="15.75" thickBot="1">
      <c r="A9" s="378"/>
      <c r="B9" s="292" t="s">
        <v>299</v>
      </c>
      <c r="C9" s="283">
        <v>0.5</v>
      </c>
      <c r="D9" s="283">
        <v>394.51</v>
      </c>
      <c r="E9" s="283">
        <v>197.26</v>
      </c>
      <c r="F9" s="253"/>
      <c r="G9" s="253"/>
    </row>
    <row r="10" spans="1:7" ht="15.75" thickBot="1">
      <c r="A10" s="379"/>
      <c r="B10" s="289" t="s">
        <v>300</v>
      </c>
      <c r="C10" s="290"/>
      <c r="D10" s="290"/>
      <c r="E10" s="291">
        <v>2357.0500000000002</v>
      </c>
      <c r="F10" s="253"/>
      <c r="G10" s="253"/>
    </row>
    <row r="11" spans="1:7" ht="15.75" thickBot="1">
      <c r="A11" s="282"/>
      <c r="B11" s="288" t="s">
        <v>310</v>
      </c>
      <c r="C11" s="352"/>
      <c r="D11" s="353"/>
      <c r="E11" s="267">
        <v>57.49</v>
      </c>
      <c r="F11" s="253"/>
      <c r="G11" s="253"/>
    </row>
    <row r="12" spans="1:7" ht="15.75" thickBot="1">
      <c r="A12" s="282"/>
      <c r="B12" s="287" t="s">
        <v>309</v>
      </c>
      <c r="C12" s="352"/>
      <c r="D12" s="353"/>
      <c r="E12" s="267">
        <v>350</v>
      </c>
      <c r="F12" s="253"/>
      <c r="G12" s="253"/>
    </row>
    <row r="13" spans="1:7" ht="15.75" thickBot="1">
      <c r="A13" s="282"/>
      <c r="B13" s="287" t="s">
        <v>120</v>
      </c>
      <c r="C13" s="352"/>
      <c r="D13" s="353"/>
      <c r="E13" s="267">
        <v>30.48</v>
      </c>
      <c r="F13" s="253"/>
      <c r="G13" s="253"/>
    </row>
    <row r="14" spans="1:7" ht="30.75" thickBot="1">
      <c r="A14" s="282"/>
      <c r="B14" s="287" t="s">
        <v>304</v>
      </c>
      <c r="C14" s="352"/>
      <c r="D14" s="353"/>
      <c r="E14" s="267">
        <v>449</v>
      </c>
      <c r="F14" s="253"/>
      <c r="G14" s="253"/>
    </row>
    <row r="15" spans="1:7" ht="15.75" thickBot="1">
      <c r="A15" s="282"/>
      <c r="B15" s="286"/>
      <c r="C15" s="352"/>
      <c r="D15" s="353"/>
      <c r="E15" s="285"/>
      <c r="F15" s="253"/>
      <c r="G15" s="253"/>
    </row>
    <row r="16" spans="1:7" ht="15.75" thickBot="1">
      <c r="A16" s="278"/>
      <c r="B16" s="277" t="s">
        <v>305</v>
      </c>
      <c r="C16" s="352"/>
      <c r="D16" s="353"/>
      <c r="E16" s="276">
        <f>E10+E11+E12+E13+E14</f>
        <v>3244.02</v>
      </c>
      <c r="F16" s="253"/>
      <c r="G16" s="253"/>
    </row>
    <row r="17" spans="1:7" ht="15.75" thickBot="1">
      <c r="A17" s="356"/>
      <c r="B17" s="357"/>
      <c r="C17" s="352"/>
      <c r="D17" s="353"/>
      <c r="E17" s="358"/>
      <c r="F17" s="253"/>
      <c r="G17" s="253"/>
    </row>
    <row r="18" spans="1:7" ht="15.75" thickBot="1">
      <c r="A18" s="284" t="s">
        <v>2</v>
      </c>
      <c r="B18" s="277" t="s">
        <v>306</v>
      </c>
      <c r="C18" s="352"/>
      <c r="D18" s="353"/>
      <c r="E18" s="359"/>
      <c r="F18" s="253"/>
      <c r="G18" s="253"/>
    </row>
    <row r="19" spans="1:7" ht="15.75" thickBot="1">
      <c r="A19" s="282">
        <v>1</v>
      </c>
      <c r="B19" s="281" t="s">
        <v>281</v>
      </c>
      <c r="C19" s="352"/>
      <c r="D19" s="353"/>
      <c r="E19" s="283">
        <v>10.64</v>
      </c>
      <c r="F19" s="253"/>
      <c r="G19" s="253"/>
    </row>
    <row r="20" spans="1:7" ht="15.75" thickBot="1">
      <c r="A20" s="282">
        <v>2</v>
      </c>
      <c r="B20" s="281" t="s">
        <v>307</v>
      </c>
      <c r="C20" s="352"/>
      <c r="D20" s="353"/>
      <c r="E20" s="280">
        <v>18.5</v>
      </c>
      <c r="F20" s="253"/>
      <c r="G20" s="253"/>
    </row>
    <row r="21" spans="1:7" ht="15.75" thickBot="1">
      <c r="A21" s="282">
        <v>3</v>
      </c>
      <c r="B21" s="281" t="s">
        <v>282</v>
      </c>
      <c r="C21" s="352"/>
      <c r="D21" s="353"/>
      <c r="E21" s="280">
        <v>4.1100000000000003</v>
      </c>
      <c r="F21" s="253"/>
      <c r="G21" s="253"/>
    </row>
    <row r="22" spans="1:7" ht="15.75" thickBot="1">
      <c r="A22" s="278"/>
      <c r="B22" s="277" t="s">
        <v>308</v>
      </c>
      <c r="C22" s="352"/>
      <c r="D22" s="353"/>
      <c r="E22" s="279">
        <f>E21+E20+E19</f>
        <v>33.25</v>
      </c>
      <c r="F22" s="253"/>
      <c r="G22" s="253"/>
    </row>
    <row r="23" spans="1:7" ht="15.75" thickBot="1">
      <c r="A23" s="278" t="s">
        <v>3</v>
      </c>
      <c r="B23" s="277" t="s">
        <v>365</v>
      </c>
      <c r="C23" s="354"/>
      <c r="D23" s="355"/>
      <c r="E23" s="276">
        <f>E16+E22</f>
        <v>3277.27</v>
      </c>
      <c r="F23" s="253"/>
      <c r="G23" s="253"/>
    </row>
  </sheetData>
  <mergeCells count="8">
    <mergeCell ref="C11:D23"/>
    <mergeCell ref="A17:B17"/>
    <mergeCell ref="E17:E18"/>
    <mergeCell ref="A1:B2"/>
    <mergeCell ref="C1:E2"/>
    <mergeCell ref="A3:B4"/>
    <mergeCell ref="C5:E6"/>
    <mergeCell ref="A6:A10"/>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F7BE59-51C9-4BAE-B656-693B026290F8}">
  <dimension ref="A1:F23"/>
  <sheetViews>
    <sheetView showGridLines="0" zoomScaleNormal="100" workbookViewId="0">
      <selection activeCell="C8" sqref="C8"/>
    </sheetView>
  </sheetViews>
  <sheetFormatPr defaultRowHeight="15"/>
  <cols>
    <col min="1" max="1" width="9.140625" style="205"/>
    <col min="2" max="2" width="34.140625" style="205" customWidth="1"/>
    <col min="3" max="3" width="19.85546875" style="205" customWidth="1"/>
    <col min="4" max="4" width="16.7109375" style="205" customWidth="1"/>
    <col min="5" max="5" width="16.42578125" style="205" customWidth="1"/>
    <col min="6" max="7" width="9.140625" style="205"/>
    <col min="8" max="8" width="23.140625" style="205" bestFit="1" customWidth="1"/>
    <col min="9" max="9" width="9.140625" style="205"/>
    <col min="10" max="10" width="11.140625" style="205" bestFit="1" customWidth="1"/>
    <col min="11" max="16384" width="9.140625" style="205"/>
  </cols>
  <sheetData>
    <row r="1" spans="1:6">
      <c r="A1" s="388" t="s">
        <v>288</v>
      </c>
      <c r="B1" s="389"/>
      <c r="C1" s="392" t="s">
        <v>289</v>
      </c>
      <c r="D1" s="393"/>
      <c r="E1" s="394"/>
      <c r="F1" s="253"/>
    </row>
    <row r="2" spans="1:6" ht="15.75" thickBot="1">
      <c r="A2" s="390"/>
      <c r="B2" s="391"/>
      <c r="C2" s="395"/>
      <c r="D2" s="396"/>
      <c r="E2" s="397"/>
      <c r="F2" s="253"/>
    </row>
    <row r="3" spans="1:6" ht="15.75" thickBot="1">
      <c r="A3" s="398"/>
      <c r="B3" s="399"/>
      <c r="C3" s="254" t="s">
        <v>290</v>
      </c>
      <c r="D3" s="254" t="s">
        <v>0</v>
      </c>
      <c r="E3" s="254" t="s">
        <v>291</v>
      </c>
      <c r="F3" s="253"/>
    </row>
    <row r="4" spans="1:6" ht="15.75" thickBot="1">
      <c r="A4" s="400"/>
      <c r="B4" s="401"/>
      <c r="C4" s="255" t="s">
        <v>292</v>
      </c>
      <c r="D4" s="255" t="s">
        <v>293</v>
      </c>
      <c r="E4" s="255" t="s">
        <v>366</v>
      </c>
      <c r="F4" s="253"/>
    </row>
    <row r="5" spans="1:6" ht="15.75" thickBot="1">
      <c r="A5" s="256" t="s">
        <v>1</v>
      </c>
      <c r="B5" s="257" t="s">
        <v>295</v>
      </c>
      <c r="C5" s="402"/>
      <c r="D5" s="403"/>
      <c r="E5" s="403"/>
      <c r="F5" s="253"/>
    </row>
    <row r="6" spans="1:6" ht="15.75" thickBot="1">
      <c r="A6" s="405">
        <v>1</v>
      </c>
      <c r="B6" s="258" t="s">
        <v>296</v>
      </c>
      <c r="C6" s="382"/>
      <c r="D6" s="404"/>
      <c r="E6" s="404"/>
      <c r="F6" s="253"/>
    </row>
    <row r="7" spans="1:6" ht="15.75" thickBot="1">
      <c r="A7" s="406"/>
      <c r="B7" s="259" t="s">
        <v>297</v>
      </c>
      <c r="C7" s="260">
        <v>0.73099999999999998</v>
      </c>
      <c r="D7" s="261">
        <f>'Cost of Production - LER'!E7+'Cost of Production - LER'!E8+'Cost of Production - LER'!E9</f>
        <v>2357.0500000000002</v>
      </c>
      <c r="E7" s="261">
        <f>D7*C7</f>
        <v>1723.0035500000001</v>
      </c>
      <c r="F7" s="253"/>
    </row>
    <row r="8" spans="1:6" ht="15.75" thickBot="1">
      <c r="A8" s="406"/>
      <c r="B8" s="259" t="s">
        <v>298</v>
      </c>
      <c r="C8" s="260">
        <f>(0.912-'Cost of Production - LER'!C7)*0.7</f>
        <v>0.14840000000000003</v>
      </c>
      <c r="D8" s="261">
        <v>1625</v>
      </c>
      <c r="E8" s="261">
        <f>D8*C8</f>
        <v>241.15000000000006</v>
      </c>
      <c r="F8" s="253"/>
    </row>
    <row r="9" spans="1:6" ht="15.75" thickBot="1">
      <c r="A9" s="406"/>
      <c r="B9" s="259" t="s">
        <v>299</v>
      </c>
      <c r="C9" s="260">
        <v>0.19400000000000001</v>
      </c>
      <c r="D9" s="261">
        <v>394.51</v>
      </c>
      <c r="E9" s="261">
        <f>C9*D9</f>
        <v>76.534940000000006</v>
      </c>
      <c r="F9" s="253"/>
    </row>
    <row r="10" spans="1:6" ht="15.75" thickBot="1">
      <c r="A10" s="407"/>
      <c r="B10" s="262" t="s">
        <v>300</v>
      </c>
      <c r="C10" s="263"/>
      <c r="D10" s="264"/>
      <c r="E10" s="265">
        <f>SUM(E7:E9)</f>
        <v>2040.6884900000002</v>
      </c>
    </row>
    <row r="11" spans="1:6" ht="15.75" thickBot="1">
      <c r="A11" s="245"/>
      <c r="B11" s="266" t="s">
        <v>301</v>
      </c>
      <c r="C11" s="380"/>
      <c r="D11" s="381"/>
      <c r="E11" s="267">
        <v>57.49</v>
      </c>
    </row>
    <row r="12" spans="1:6" ht="15.75" thickBot="1">
      <c r="A12" s="245"/>
      <c r="B12" s="268" t="s">
        <v>302</v>
      </c>
      <c r="C12" s="380"/>
      <c r="D12" s="381"/>
      <c r="E12" s="267">
        <v>360</v>
      </c>
    </row>
    <row r="13" spans="1:6" ht="15.75" thickBot="1">
      <c r="A13" s="245"/>
      <c r="B13" s="268" t="s">
        <v>303</v>
      </c>
      <c r="C13" s="380"/>
      <c r="D13" s="381"/>
      <c r="E13" s="267">
        <v>30.47</v>
      </c>
    </row>
    <row r="14" spans="1:6" ht="30.75" thickBot="1">
      <c r="A14" s="245"/>
      <c r="B14" s="268" t="s">
        <v>304</v>
      </c>
      <c r="C14" s="380"/>
      <c r="D14" s="381"/>
      <c r="E14" s="267">
        <v>410.41</v>
      </c>
    </row>
    <row r="15" spans="1:6" ht="15.75" thickBot="1">
      <c r="A15" s="245"/>
      <c r="B15" s="258"/>
      <c r="C15" s="380"/>
      <c r="D15" s="381"/>
      <c r="E15" s="269"/>
      <c r="F15" s="253"/>
    </row>
    <row r="16" spans="1:6" ht="15.75" thickBot="1">
      <c r="A16" s="256"/>
      <c r="B16" s="270" t="s">
        <v>305</v>
      </c>
      <c r="C16" s="380"/>
      <c r="D16" s="381"/>
      <c r="E16" s="271">
        <f>E10+E11+E12+E13+E14</f>
        <v>2899.0584899999999</v>
      </c>
      <c r="F16" s="253"/>
    </row>
    <row r="17" spans="1:6" ht="15.75" thickBot="1">
      <c r="A17" s="384"/>
      <c r="B17" s="385"/>
      <c r="C17" s="380"/>
      <c r="D17" s="381"/>
      <c r="E17" s="386"/>
      <c r="F17" s="253"/>
    </row>
    <row r="18" spans="1:6" ht="15.75" thickBot="1">
      <c r="A18" s="272" t="s">
        <v>2</v>
      </c>
      <c r="B18" s="270" t="s">
        <v>306</v>
      </c>
      <c r="C18" s="380"/>
      <c r="D18" s="381"/>
      <c r="E18" s="387"/>
      <c r="F18" s="253"/>
    </row>
    <row r="19" spans="1:6" ht="15.75" thickBot="1">
      <c r="A19" s="245">
        <v>1</v>
      </c>
      <c r="B19" s="273" t="s">
        <v>281</v>
      </c>
      <c r="C19" s="380"/>
      <c r="D19" s="381"/>
      <c r="E19" s="260">
        <v>10.64</v>
      </c>
      <c r="F19" s="253"/>
    </row>
    <row r="20" spans="1:6" ht="15.75" thickBot="1">
      <c r="A20" s="245">
        <v>2</v>
      </c>
      <c r="B20" s="273" t="s">
        <v>307</v>
      </c>
      <c r="C20" s="380"/>
      <c r="D20" s="381"/>
      <c r="E20" s="274">
        <v>18.5</v>
      </c>
      <c r="F20" s="253"/>
    </row>
    <row r="21" spans="1:6" ht="15.75" thickBot="1">
      <c r="A21" s="245">
        <v>3</v>
      </c>
      <c r="B21" s="273" t="s">
        <v>282</v>
      </c>
      <c r="C21" s="380"/>
      <c r="D21" s="381"/>
      <c r="E21" s="274">
        <v>4.1100000000000003</v>
      </c>
      <c r="F21" s="253"/>
    </row>
    <row r="22" spans="1:6" ht="15.75" thickBot="1">
      <c r="A22" s="256"/>
      <c r="B22" s="270" t="s">
        <v>308</v>
      </c>
      <c r="C22" s="380"/>
      <c r="D22" s="381"/>
      <c r="E22" s="275">
        <f>E19+E20+E21</f>
        <v>33.25</v>
      </c>
      <c r="F22" s="253"/>
    </row>
    <row r="23" spans="1:6" ht="15.75" thickBot="1">
      <c r="A23" s="256" t="s">
        <v>3</v>
      </c>
      <c r="B23" s="270" t="s">
        <v>365</v>
      </c>
      <c r="C23" s="382"/>
      <c r="D23" s="383"/>
      <c r="E23" s="296">
        <f>E16+E22</f>
        <v>2932.3084899999999</v>
      </c>
      <c r="F23" s="253"/>
    </row>
  </sheetData>
  <mergeCells count="8">
    <mergeCell ref="C11:D23"/>
    <mergeCell ref="A17:B17"/>
    <mergeCell ref="E17:E18"/>
    <mergeCell ref="A1:B2"/>
    <mergeCell ref="C1:E2"/>
    <mergeCell ref="A3:B4"/>
    <mergeCell ref="C5:E6"/>
    <mergeCell ref="A6:A10"/>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5B55F2-A784-4471-AE00-36EB557BC215}">
  <dimension ref="A1:E23"/>
  <sheetViews>
    <sheetView showGridLines="0" topLeftCell="A12" workbookViewId="0">
      <selection sqref="A1:E23"/>
    </sheetView>
  </sheetViews>
  <sheetFormatPr defaultRowHeight="15"/>
  <cols>
    <col min="1" max="1" width="9.140625" style="205"/>
    <col min="2" max="2" width="34.28515625" style="205" bestFit="1" customWidth="1"/>
    <col min="3" max="3" width="17.140625" style="205" customWidth="1"/>
    <col min="4" max="4" width="22.140625" style="205" customWidth="1"/>
    <col min="5" max="5" width="25.7109375" style="205" customWidth="1"/>
    <col min="6" max="16384" width="9.140625" style="205"/>
  </cols>
  <sheetData>
    <row r="1" spans="1:5">
      <c r="A1" s="388" t="s">
        <v>288</v>
      </c>
      <c r="B1" s="389"/>
      <c r="C1" s="392" t="s">
        <v>289</v>
      </c>
      <c r="D1" s="393"/>
      <c r="E1" s="394"/>
    </row>
    <row r="2" spans="1:5" ht="15.75" thickBot="1">
      <c r="A2" s="390"/>
      <c r="B2" s="391"/>
      <c r="C2" s="395"/>
      <c r="D2" s="396"/>
      <c r="E2" s="397"/>
    </row>
    <row r="3" spans="1:5" ht="15.75" thickBot="1">
      <c r="A3" s="398"/>
      <c r="B3" s="399"/>
      <c r="C3" s="254" t="s">
        <v>290</v>
      </c>
      <c r="D3" s="254" t="s">
        <v>0</v>
      </c>
      <c r="E3" s="254" t="s">
        <v>291</v>
      </c>
    </row>
    <row r="4" spans="1:5" ht="15.75" thickBot="1">
      <c r="A4" s="400"/>
      <c r="B4" s="401"/>
      <c r="C4" s="255" t="s">
        <v>292</v>
      </c>
      <c r="D4" s="255" t="s">
        <v>293</v>
      </c>
      <c r="E4" s="255" t="s">
        <v>294</v>
      </c>
    </row>
    <row r="5" spans="1:5" ht="15.75" thickBot="1">
      <c r="A5" s="256" t="s">
        <v>1</v>
      </c>
      <c r="B5" s="257" t="s">
        <v>295</v>
      </c>
      <c r="C5" s="402"/>
      <c r="D5" s="403"/>
      <c r="E5" s="403"/>
    </row>
    <row r="6" spans="1:5" ht="15.75" thickBot="1">
      <c r="A6" s="405">
        <v>1</v>
      </c>
      <c r="B6" s="258" t="s">
        <v>296</v>
      </c>
      <c r="C6" s="382"/>
      <c r="D6" s="404"/>
      <c r="E6" s="404"/>
    </row>
    <row r="7" spans="1:5" ht="15.75" thickBot="1">
      <c r="A7" s="406"/>
      <c r="B7" s="259" t="s">
        <v>297</v>
      </c>
      <c r="C7" s="260">
        <v>0.79</v>
      </c>
      <c r="D7" s="261">
        <v>2373</v>
      </c>
      <c r="E7" s="261">
        <f>C7*D7</f>
        <v>1874.67</v>
      </c>
    </row>
    <row r="8" spans="1:5" ht="15.75" thickBot="1">
      <c r="A8" s="406"/>
      <c r="B8" s="259" t="s">
        <v>298</v>
      </c>
      <c r="C8" s="260">
        <v>0.11</v>
      </c>
      <c r="D8" s="261">
        <v>1625</v>
      </c>
      <c r="E8" s="261">
        <f t="shared" ref="E8:E9" si="0">C8*D8</f>
        <v>178.75</v>
      </c>
    </row>
    <row r="9" spans="1:5" ht="15.75" thickBot="1">
      <c r="A9" s="406"/>
      <c r="B9" s="259" t="s">
        <v>299</v>
      </c>
      <c r="C9" s="260">
        <v>0.17</v>
      </c>
      <c r="D9" s="261">
        <v>394.51</v>
      </c>
      <c r="E9" s="261">
        <f t="shared" si="0"/>
        <v>67.066699999999997</v>
      </c>
    </row>
    <row r="10" spans="1:5" ht="15.75" thickBot="1">
      <c r="A10" s="407"/>
      <c r="B10" s="262" t="s">
        <v>300</v>
      </c>
      <c r="C10" s="263"/>
      <c r="D10" s="264"/>
      <c r="E10" s="265">
        <f>SUM(E7:E9)</f>
        <v>2120.4866999999999</v>
      </c>
    </row>
    <row r="11" spans="1:5" ht="15.75" thickBot="1">
      <c r="A11" s="245"/>
      <c r="B11" s="266" t="s">
        <v>301</v>
      </c>
      <c r="C11" s="380"/>
      <c r="D11" s="381"/>
      <c r="E11" s="267">
        <v>57.49</v>
      </c>
    </row>
    <row r="12" spans="1:5" ht="15.75" thickBot="1">
      <c r="A12" s="245"/>
      <c r="B12" s="268" t="s">
        <v>302</v>
      </c>
      <c r="C12" s="380"/>
      <c r="D12" s="381"/>
      <c r="E12" s="267">
        <v>305</v>
      </c>
    </row>
    <row r="13" spans="1:5" ht="15.75" thickBot="1">
      <c r="A13" s="245"/>
      <c r="B13" s="268" t="s">
        <v>303</v>
      </c>
      <c r="C13" s="380"/>
      <c r="D13" s="381"/>
      <c r="E13" s="267">
        <v>30.47</v>
      </c>
    </row>
    <row r="14" spans="1:5" ht="30.75" thickBot="1">
      <c r="A14" s="245"/>
      <c r="B14" s="268" t="s">
        <v>304</v>
      </c>
      <c r="C14" s="380"/>
      <c r="D14" s="381"/>
      <c r="E14" s="267">
        <v>414.52</v>
      </c>
    </row>
    <row r="15" spans="1:5" ht="15.75" thickBot="1">
      <c r="A15" s="245"/>
      <c r="B15" s="258"/>
      <c r="C15" s="380"/>
      <c r="D15" s="381"/>
      <c r="E15" s="269"/>
    </row>
    <row r="16" spans="1:5" ht="15.75" thickBot="1">
      <c r="A16" s="256"/>
      <c r="B16" s="270" t="s">
        <v>305</v>
      </c>
      <c r="C16" s="380"/>
      <c r="D16" s="381"/>
      <c r="E16" s="271">
        <f>E10+E11+E12+E13+E14</f>
        <v>2927.9666999999995</v>
      </c>
    </row>
    <row r="17" spans="1:5" ht="15.75" thickBot="1">
      <c r="A17" s="384"/>
      <c r="B17" s="385"/>
      <c r="C17" s="380"/>
      <c r="D17" s="381"/>
      <c r="E17" s="386"/>
    </row>
    <row r="18" spans="1:5" ht="15.75" thickBot="1">
      <c r="A18" s="272" t="s">
        <v>2</v>
      </c>
      <c r="B18" s="270" t="s">
        <v>306</v>
      </c>
      <c r="C18" s="380"/>
      <c r="D18" s="381"/>
      <c r="E18" s="387"/>
    </row>
    <row r="19" spans="1:5" ht="15.75" thickBot="1">
      <c r="A19" s="245">
        <v>1</v>
      </c>
      <c r="B19" s="273" t="s">
        <v>281</v>
      </c>
      <c r="C19" s="380"/>
      <c r="D19" s="381"/>
      <c r="E19" s="260">
        <v>10.64</v>
      </c>
    </row>
    <row r="20" spans="1:5" ht="15.75" thickBot="1">
      <c r="A20" s="245">
        <v>2</v>
      </c>
      <c r="B20" s="273" t="s">
        <v>307</v>
      </c>
      <c r="C20" s="380"/>
      <c r="D20" s="381"/>
      <c r="E20" s="274">
        <v>18.5</v>
      </c>
    </row>
    <row r="21" spans="1:5" ht="15.75" thickBot="1">
      <c r="A21" s="245">
        <v>3</v>
      </c>
      <c r="B21" s="273" t="s">
        <v>282</v>
      </c>
      <c r="C21" s="380"/>
      <c r="D21" s="381"/>
      <c r="E21" s="274">
        <v>4.1100000000000003</v>
      </c>
    </row>
    <row r="22" spans="1:5" ht="15.75" thickBot="1">
      <c r="A22" s="256"/>
      <c r="B22" s="270" t="s">
        <v>308</v>
      </c>
      <c r="C22" s="380"/>
      <c r="D22" s="381"/>
      <c r="E22" s="275">
        <f>E19+E20+E21</f>
        <v>33.25</v>
      </c>
    </row>
    <row r="23" spans="1:5" ht="15.75" thickBot="1">
      <c r="A23" s="256" t="s">
        <v>3</v>
      </c>
      <c r="B23" s="270" t="s">
        <v>365</v>
      </c>
      <c r="C23" s="382"/>
      <c r="D23" s="383"/>
      <c r="E23" s="296">
        <f>E16+E22</f>
        <v>2961.2166999999995</v>
      </c>
    </row>
  </sheetData>
  <mergeCells count="8">
    <mergeCell ref="C11:D23"/>
    <mergeCell ref="A17:B17"/>
    <mergeCell ref="E17:E18"/>
    <mergeCell ref="A1:B2"/>
    <mergeCell ref="C1:E2"/>
    <mergeCell ref="A3:B4"/>
    <mergeCell ref="C5:E6"/>
    <mergeCell ref="A6:A10"/>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4C74C-CAB0-4D18-A722-D751E0382622}">
  <dimension ref="A1:E23"/>
  <sheetViews>
    <sheetView tabSelected="1" workbookViewId="0">
      <selection activeCell="C11" sqref="C11:D23"/>
    </sheetView>
  </sheetViews>
  <sheetFormatPr defaultRowHeight="15"/>
  <cols>
    <col min="2" max="2" width="34.5703125" customWidth="1"/>
    <col min="3" max="5" width="16.140625" customWidth="1"/>
  </cols>
  <sheetData>
    <row r="1" spans="1:5">
      <c r="A1" s="388" t="s">
        <v>288</v>
      </c>
      <c r="B1" s="389"/>
      <c r="C1" s="392" t="s">
        <v>376</v>
      </c>
      <c r="D1" s="393"/>
      <c r="E1" s="394"/>
    </row>
    <row r="2" spans="1:5" ht="15.75" thickBot="1">
      <c r="A2" s="390"/>
      <c r="B2" s="391"/>
      <c r="C2" s="395"/>
      <c r="D2" s="396"/>
      <c r="E2" s="397"/>
    </row>
    <row r="3" spans="1:5" ht="15.75" thickBot="1">
      <c r="A3" s="398"/>
      <c r="B3" s="399"/>
      <c r="C3" s="254" t="s">
        <v>290</v>
      </c>
      <c r="D3" s="254" t="s">
        <v>0</v>
      </c>
      <c r="E3" s="254" t="s">
        <v>291</v>
      </c>
    </row>
    <row r="4" spans="1:5" ht="15.75" thickBot="1">
      <c r="A4" s="400"/>
      <c r="B4" s="401"/>
      <c r="C4" s="255" t="s">
        <v>292</v>
      </c>
      <c r="D4" s="255" t="s">
        <v>293</v>
      </c>
      <c r="E4" s="255" t="s">
        <v>294</v>
      </c>
    </row>
    <row r="5" spans="1:5" ht="15.75" thickBot="1">
      <c r="A5" s="256" t="s">
        <v>1</v>
      </c>
      <c r="B5" s="257" t="s">
        <v>295</v>
      </c>
      <c r="C5" s="402"/>
      <c r="D5" s="403"/>
      <c r="E5" s="403"/>
    </row>
    <row r="6" spans="1:5" ht="15.75" thickBot="1">
      <c r="A6" s="405">
        <v>1</v>
      </c>
      <c r="B6" s="258" t="s">
        <v>296</v>
      </c>
      <c r="C6" s="382"/>
      <c r="D6" s="404"/>
      <c r="E6" s="404"/>
    </row>
    <row r="7" spans="1:5" ht="15.75" hidden="1" thickBot="1">
      <c r="A7" s="406"/>
      <c r="B7" s="259" t="s">
        <v>297</v>
      </c>
      <c r="C7" s="260">
        <v>0.79</v>
      </c>
      <c r="D7" s="261">
        <v>2373</v>
      </c>
      <c r="E7" s="261">
        <v>1874.67</v>
      </c>
    </row>
    <row r="8" spans="1:5" ht="15.75" hidden="1" thickBot="1">
      <c r="A8" s="406"/>
      <c r="B8" s="259" t="s">
        <v>298</v>
      </c>
      <c r="C8" s="260">
        <v>0.11</v>
      </c>
      <c r="D8" s="261">
        <v>1625</v>
      </c>
      <c r="E8" s="261">
        <v>178.75</v>
      </c>
    </row>
    <row r="9" spans="1:5" ht="15.75" hidden="1" thickBot="1">
      <c r="A9" s="406"/>
      <c r="B9" s="259" t="s">
        <v>299</v>
      </c>
      <c r="C9" s="260">
        <v>0.17</v>
      </c>
      <c r="D9" s="261">
        <v>394.51</v>
      </c>
      <c r="E9" s="261">
        <v>67.066699999999997</v>
      </c>
    </row>
    <row r="10" spans="1:5" ht="15.75" thickBot="1">
      <c r="A10" s="407"/>
      <c r="B10" s="262" t="s">
        <v>300</v>
      </c>
      <c r="C10" s="263"/>
      <c r="D10" s="264"/>
      <c r="E10" s="265">
        <v>2900</v>
      </c>
    </row>
    <row r="11" spans="1:5" ht="15.75" thickBot="1">
      <c r="A11" s="245"/>
      <c r="B11" s="266" t="s">
        <v>301</v>
      </c>
      <c r="C11" s="380"/>
      <c r="D11" s="381"/>
      <c r="E11" s="409">
        <v>57.493665854978353</v>
      </c>
    </row>
    <row r="12" spans="1:5" ht="15.75" thickBot="1">
      <c r="A12" s="245"/>
      <c r="B12" s="268" t="s">
        <v>302</v>
      </c>
      <c r="C12" s="380"/>
      <c r="D12" s="381"/>
      <c r="E12" s="267">
        <v>372</v>
      </c>
    </row>
    <row r="13" spans="1:5" ht="15.75" thickBot="1">
      <c r="A13" s="245"/>
      <c r="B13" s="268" t="s">
        <v>303</v>
      </c>
      <c r="C13" s="380"/>
      <c r="D13" s="381"/>
      <c r="E13" s="409">
        <v>30.476190476190478</v>
      </c>
    </row>
    <row r="14" spans="1:5" ht="30.75" thickBot="1">
      <c r="A14" s="245"/>
      <c r="B14" s="268" t="s">
        <v>304</v>
      </c>
      <c r="C14" s="380"/>
      <c r="D14" s="381"/>
      <c r="E14" s="409">
        <v>390.62142857142857</v>
      </c>
    </row>
    <row r="15" spans="1:5" ht="15.75" thickBot="1">
      <c r="A15" s="245"/>
      <c r="B15" s="258"/>
      <c r="C15" s="380"/>
      <c r="D15" s="381"/>
      <c r="E15" s="269"/>
    </row>
    <row r="16" spans="1:5" ht="15.75" thickBot="1">
      <c r="A16" s="256"/>
      <c r="B16" s="270" t="s">
        <v>305</v>
      </c>
      <c r="C16" s="380"/>
      <c r="D16" s="381"/>
      <c r="E16" s="271">
        <v>3750.5912849025972</v>
      </c>
    </row>
    <row r="17" spans="1:5" ht="15.75" thickBot="1">
      <c r="A17" s="384"/>
      <c r="B17" s="385"/>
      <c r="C17" s="380"/>
      <c r="D17" s="381"/>
      <c r="E17" s="386"/>
    </row>
    <row r="18" spans="1:5" ht="15.75" thickBot="1">
      <c r="A18" s="272" t="s">
        <v>2</v>
      </c>
      <c r="B18" s="270" t="s">
        <v>306</v>
      </c>
      <c r="C18" s="380"/>
      <c r="D18" s="381"/>
      <c r="E18" s="387"/>
    </row>
    <row r="19" spans="1:5" ht="15.75" thickBot="1">
      <c r="A19" s="245">
        <v>1</v>
      </c>
      <c r="B19" s="273" t="s">
        <v>281</v>
      </c>
      <c r="C19" s="380"/>
      <c r="D19" s="381"/>
      <c r="E19" s="410">
        <v>10.646266214285715</v>
      </c>
    </row>
    <row r="20" spans="1:5" ht="15.75" thickBot="1">
      <c r="A20" s="245">
        <v>2</v>
      </c>
      <c r="B20" s="273" t="s">
        <v>307</v>
      </c>
      <c r="C20" s="380"/>
      <c r="D20" s="381"/>
      <c r="E20" s="410">
        <v>18.505105510714287</v>
      </c>
    </row>
    <row r="21" spans="1:5" ht="15.75" thickBot="1">
      <c r="A21" s="245">
        <v>3</v>
      </c>
      <c r="B21" s="273" t="s">
        <v>282</v>
      </c>
      <c r="C21" s="380"/>
      <c r="D21" s="381"/>
      <c r="E21" s="410">
        <v>4.1122456690476197</v>
      </c>
    </row>
    <row r="22" spans="1:5" ht="15.75" thickBot="1">
      <c r="A22" s="256"/>
      <c r="B22" s="270" t="s">
        <v>308</v>
      </c>
      <c r="C22" s="380"/>
      <c r="D22" s="381"/>
      <c r="E22" s="411">
        <v>33.263617394047621</v>
      </c>
    </row>
    <row r="23" spans="1:5" ht="15.75" thickBot="1">
      <c r="A23" s="256" t="s">
        <v>3</v>
      </c>
      <c r="B23" s="270" t="s">
        <v>365</v>
      </c>
      <c r="C23" s="382"/>
      <c r="D23" s="383"/>
      <c r="E23" s="271">
        <v>3783.8549022966449</v>
      </c>
    </row>
  </sheetData>
  <mergeCells count="8">
    <mergeCell ref="A1:B2"/>
    <mergeCell ref="C1:E2"/>
    <mergeCell ref="A3:B4"/>
    <mergeCell ref="C5:E6"/>
    <mergeCell ref="A6:A10"/>
    <mergeCell ref="C11:D23"/>
    <mergeCell ref="A17:B17"/>
    <mergeCell ref="E17:E18"/>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2BC96A-5632-458F-835C-5C40A704CCD4}">
  <dimension ref="A1:F154"/>
  <sheetViews>
    <sheetView showGridLines="0" workbookViewId="0">
      <selection activeCell="F16" sqref="F16"/>
    </sheetView>
  </sheetViews>
  <sheetFormatPr defaultRowHeight="15"/>
  <cols>
    <col min="1" max="1" width="54" style="205" customWidth="1"/>
    <col min="2" max="2" width="13.5703125" style="205" customWidth="1"/>
    <col min="3" max="3" width="9.140625" style="205"/>
    <col min="4" max="4" width="12" style="205" customWidth="1"/>
    <col min="5" max="5" width="17.5703125" style="88" customWidth="1"/>
    <col min="6" max="16384" width="9.140625" style="205"/>
  </cols>
  <sheetData>
    <row r="1" spans="1:5">
      <c r="A1" s="302" t="s">
        <v>335</v>
      </c>
      <c r="B1" s="302" t="s">
        <v>336</v>
      </c>
      <c r="C1" s="302" t="s">
        <v>313</v>
      </c>
      <c r="D1" s="302" t="s">
        <v>314</v>
      </c>
      <c r="E1" s="302" t="s">
        <v>364</v>
      </c>
    </row>
    <row r="2" spans="1:5">
      <c r="A2" s="300" t="s">
        <v>337</v>
      </c>
      <c r="B2" s="300" t="s">
        <v>338</v>
      </c>
      <c r="C2" s="299">
        <v>2018</v>
      </c>
      <c r="D2" s="299" t="s">
        <v>315</v>
      </c>
      <c r="E2" s="299">
        <v>2825</v>
      </c>
    </row>
    <row r="3" spans="1:5">
      <c r="A3" s="300" t="s">
        <v>339</v>
      </c>
      <c r="B3" s="300" t="s">
        <v>338</v>
      </c>
      <c r="C3" s="299">
        <v>2018</v>
      </c>
      <c r="D3" s="299" t="s">
        <v>315</v>
      </c>
      <c r="E3" s="301">
        <v>2375</v>
      </c>
    </row>
    <row r="4" spans="1:5">
      <c r="A4" s="300" t="s">
        <v>340</v>
      </c>
      <c r="B4" s="300" t="s">
        <v>338</v>
      </c>
      <c r="C4" s="299">
        <v>2018</v>
      </c>
      <c r="D4" s="299" t="s">
        <v>315</v>
      </c>
      <c r="E4" s="301">
        <v>2125</v>
      </c>
    </row>
    <row r="5" spans="1:5">
      <c r="A5" s="300" t="s">
        <v>337</v>
      </c>
      <c r="B5" s="300" t="s">
        <v>338</v>
      </c>
      <c r="C5" s="299">
        <v>2018</v>
      </c>
      <c r="D5" s="299" t="s">
        <v>316</v>
      </c>
      <c r="E5" s="299">
        <v>3025</v>
      </c>
    </row>
    <row r="6" spans="1:5">
      <c r="A6" s="300" t="s">
        <v>339</v>
      </c>
      <c r="B6" s="300" t="s">
        <v>338</v>
      </c>
      <c r="C6" s="299">
        <v>2018</v>
      </c>
      <c r="D6" s="299" t="s">
        <v>316</v>
      </c>
      <c r="E6" s="301">
        <v>2625</v>
      </c>
    </row>
    <row r="7" spans="1:5">
      <c r="A7" s="300" t="s">
        <v>340</v>
      </c>
      <c r="B7" s="300" t="s">
        <v>338</v>
      </c>
      <c r="C7" s="299">
        <v>2018</v>
      </c>
      <c r="D7" s="299" t="s">
        <v>316</v>
      </c>
      <c r="E7" s="301">
        <v>2475</v>
      </c>
    </row>
    <row r="8" spans="1:5">
      <c r="A8" s="300" t="s">
        <v>337</v>
      </c>
      <c r="B8" s="300" t="s">
        <v>338</v>
      </c>
      <c r="C8" s="299">
        <v>2018</v>
      </c>
      <c r="D8" s="299" t="s">
        <v>317</v>
      </c>
      <c r="E8" s="299">
        <v>2975</v>
      </c>
    </row>
    <row r="9" spans="1:5">
      <c r="A9" s="300" t="s">
        <v>339</v>
      </c>
      <c r="B9" s="300" t="s">
        <v>338</v>
      </c>
      <c r="C9" s="299">
        <v>2018</v>
      </c>
      <c r="D9" s="299" t="s">
        <v>317</v>
      </c>
      <c r="E9" s="301">
        <v>2575</v>
      </c>
    </row>
    <row r="10" spans="1:5">
      <c r="A10" s="300" t="s">
        <v>340</v>
      </c>
      <c r="B10" s="300" t="s">
        <v>338</v>
      </c>
      <c r="C10" s="299">
        <v>2018</v>
      </c>
      <c r="D10" s="299" t="s">
        <v>317</v>
      </c>
      <c r="E10" s="301">
        <v>2450</v>
      </c>
    </row>
    <row r="11" spans="1:5">
      <c r="A11" s="300" t="s">
        <v>337</v>
      </c>
      <c r="B11" s="300" t="s">
        <v>338</v>
      </c>
      <c r="C11" s="299">
        <v>2018</v>
      </c>
      <c r="D11" s="299" t="s">
        <v>318</v>
      </c>
      <c r="E11" s="299">
        <v>2925</v>
      </c>
    </row>
    <row r="12" spans="1:5">
      <c r="A12" s="300" t="s">
        <v>339</v>
      </c>
      <c r="B12" s="300" t="s">
        <v>338</v>
      </c>
      <c r="C12" s="299">
        <v>2018</v>
      </c>
      <c r="D12" s="299" t="s">
        <v>318</v>
      </c>
      <c r="E12" s="301">
        <v>2700</v>
      </c>
    </row>
    <row r="13" spans="1:5">
      <c r="A13" s="300" t="s">
        <v>340</v>
      </c>
      <c r="B13" s="300" t="s">
        <v>338</v>
      </c>
      <c r="C13" s="299">
        <v>2018</v>
      </c>
      <c r="D13" s="299" t="s">
        <v>318</v>
      </c>
      <c r="E13" s="301">
        <v>2590</v>
      </c>
    </row>
    <row r="14" spans="1:5">
      <c r="A14" s="300" t="s">
        <v>337</v>
      </c>
      <c r="B14" s="300" t="s">
        <v>338</v>
      </c>
      <c r="C14" s="299">
        <v>2018</v>
      </c>
      <c r="D14" s="299" t="s">
        <v>319</v>
      </c>
      <c r="E14" s="299">
        <v>2880</v>
      </c>
    </row>
    <row r="15" spans="1:5">
      <c r="A15" s="300" t="s">
        <v>339</v>
      </c>
      <c r="B15" s="300" t="s">
        <v>338</v>
      </c>
      <c r="C15" s="299">
        <v>2018</v>
      </c>
      <c r="D15" s="299" t="s">
        <v>319</v>
      </c>
      <c r="E15" s="301">
        <v>2550</v>
      </c>
    </row>
    <row r="16" spans="1:5">
      <c r="A16" s="300" t="s">
        <v>340</v>
      </c>
      <c r="B16" s="300" t="s">
        <v>338</v>
      </c>
      <c r="C16" s="299">
        <v>2018</v>
      </c>
      <c r="D16" s="299" t="s">
        <v>319</v>
      </c>
      <c r="E16" s="301">
        <v>2350</v>
      </c>
    </row>
    <row r="17" spans="1:6">
      <c r="A17" s="300" t="s">
        <v>337</v>
      </c>
      <c r="B17" s="300" t="s">
        <v>338</v>
      </c>
      <c r="C17" s="299">
        <v>2018</v>
      </c>
      <c r="D17" s="299" t="s">
        <v>320</v>
      </c>
      <c r="E17" s="299">
        <v>2760</v>
      </c>
    </row>
    <row r="18" spans="1:6">
      <c r="A18" s="300" t="s">
        <v>339</v>
      </c>
      <c r="B18" s="300" t="s">
        <v>338</v>
      </c>
      <c r="C18" s="299">
        <v>2018</v>
      </c>
      <c r="D18" s="299" t="s">
        <v>320</v>
      </c>
      <c r="E18" s="301">
        <v>2410</v>
      </c>
    </row>
    <row r="19" spans="1:6">
      <c r="A19" s="300" t="s">
        <v>340</v>
      </c>
      <c r="B19" s="300" t="s">
        <v>338</v>
      </c>
      <c r="C19" s="299">
        <v>2018</v>
      </c>
      <c r="D19" s="299" t="s">
        <v>320</v>
      </c>
      <c r="E19" s="301">
        <v>2210</v>
      </c>
    </row>
    <row r="20" spans="1:6">
      <c r="A20" s="300" t="s">
        <v>337</v>
      </c>
      <c r="B20" s="300" t="s">
        <v>338</v>
      </c>
      <c r="C20" s="299">
        <v>2018</v>
      </c>
      <c r="D20" s="299" t="s">
        <v>321</v>
      </c>
      <c r="E20" s="299">
        <v>2730</v>
      </c>
    </row>
    <row r="21" spans="1:6">
      <c r="A21" s="300" t="s">
        <v>339</v>
      </c>
      <c r="B21" s="300" t="s">
        <v>338</v>
      </c>
      <c r="C21" s="299">
        <v>2018</v>
      </c>
      <c r="D21" s="299" t="s">
        <v>321</v>
      </c>
      <c r="E21" s="301">
        <v>2430</v>
      </c>
    </row>
    <row r="22" spans="1:6">
      <c r="A22" s="300" t="s">
        <v>340</v>
      </c>
      <c r="B22" s="300" t="s">
        <v>338</v>
      </c>
      <c r="C22" s="299">
        <v>2018</v>
      </c>
      <c r="D22" s="299" t="s">
        <v>321</v>
      </c>
      <c r="E22" s="301">
        <v>2230</v>
      </c>
    </row>
    <row r="23" spans="1:6">
      <c r="A23" s="300" t="s">
        <v>337</v>
      </c>
      <c r="B23" s="300" t="s">
        <v>338</v>
      </c>
      <c r="C23" s="299">
        <v>2018</v>
      </c>
      <c r="D23" s="299" t="s">
        <v>322</v>
      </c>
      <c r="E23" s="299">
        <v>2700</v>
      </c>
    </row>
    <row r="24" spans="1:6">
      <c r="A24" s="300" t="s">
        <v>339</v>
      </c>
      <c r="B24" s="300" t="s">
        <v>338</v>
      </c>
      <c r="C24" s="299">
        <v>2018</v>
      </c>
      <c r="D24" s="299" t="s">
        <v>322</v>
      </c>
      <c r="E24" s="301">
        <v>2325</v>
      </c>
    </row>
    <row r="25" spans="1:6">
      <c r="A25" s="300" t="s">
        <v>340</v>
      </c>
      <c r="B25" s="300" t="s">
        <v>338</v>
      </c>
      <c r="C25" s="299">
        <v>2018</v>
      </c>
      <c r="D25" s="299" t="s">
        <v>322</v>
      </c>
      <c r="E25" s="301">
        <v>2150</v>
      </c>
    </row>
    <row r="26" spans="1:6">
      <c r="A26" s="300" t="s">
        <v>337</v>
      </c>
      <c r="B26" s="300" t="s">
        <v>338</v>
      </c>
      <c r="C26" s="299">
        <v>2018</v>
      </c>
      <c r="D26" s="299" t="s">
        <v>323</v>
      </c>
      <c r="E26" s="299">
        <v>2700</v>
      </c>
      <c r="F26" s="88"/>
    </row>
    <row r="27" spans="1:6">
      <c r="A27" s="300" t="s">
        <v>339</v>
      </c>
      <c r="B27" s="300" t="s">
        <v>338</v>
      </c>
      <c r="C27" s="299">
        <v>2018</v>
      </c>
      <c r="D27" s="299" t="s">
        <v>323</v>
      </c>
      <c r="E27" s="301">
        <v>2200</v>
      </c>
    </row>
    <row r="28" spans="1:6">
      <c r="A28" s="300" t="s">
        <v>340</v>
      </c>
      <c r="B28" s="300" t="s">
        <v>338</v>
      </c>
      <c r="C28" s="299">
        <v>2018</v>
      </c>
      <c r="D28" s="299" t="s">
        <v>323</v>
      </c>
      <c r="E28" s="301">
        <v>2030</v>
      </c>
    </row>
    <row r="29" spans="1:6">
      <c r="A29" s="300" t="s">
        <v>337</v>
      </c>
      <c r="B29" s="300" t="s">
        <v>338</v>
      </c>
      <c r="C29" s="299">
        <v>2018</v>
      </c>
      <c r="D29" s="299" t="s">
        <v>324</v>
      </c>
      <c r="E29" s="299">
        <v>2680</v>
      </c>
      <c r="F29" s="88"/>
    </row>
    <row r="30" spans="1:6">
      <c r="A30" s="300" t="s">
        <v>339</v>
      </c>
      <c r="B30" s="300" t="s">
        <v>338</v>
      </c>
      <c r="C30" s="299">
        <v>2018</v>
      </c>
      <c r="D30" s="299" t="s">
        <v>324</v>
      </c>
      <c r="E30" s="301">
        <v>2030</v>
      </c>
    </row>
    <row r="31" spans="1:6">
      <c r="A31" s="300" t="s">
        <v>340</v>
      </c>
      <c r="B31" s="300" t="s">
        <v>338</v>
      </c>
      <c r="C31" s="299">
        <v>2018</v>
      </c>
      <c r="D31" s="299" t="s">
        <v>324</v>
      </c>
      <c r="E31" s="301">
        <v>1860</v>
      </c>
    </row>
    <row r="32" spans="1:6">
      <c r="A32" s="300" t="s">
        <v>337</v>
      </c>
      <c r="B32" s="300" t="s">
        <v>338</v>
      </c>
      <c r="C32" s="299">
        <v>2018</v>
      </c>
      <c r="D32" s="299" t="s">
        <v>325</v>
      </c>
      <c r="E32" s="299">
        <v>2655</v>
      </c>
      <c r="F32" s="88"/>
    </row>
    <row r="33" spans="1:6">
      <c r="A33" s="300" t="s">
        <v>339</v>
      </c>
      <c r="B33" s="300" t="s">
        <v>338</v>
      </c>
      <c r="C33" s="299">
        <v>2018</v>
      </c>
      <c r="D33" s="299" t="s">
        <v>325</v>
      </c>
      <c r="E33" s="301">
        <v>1905</v>
      </c>
    </row>
    <row r="34" spans="1:6">
      <c r="A34" s="300" t="s">
        <v>340</v>
      </c>
      <c r="B34" s="300" t="s">
        <v>338</v>
      </c>
      <c r="C34" s="299">
        <v>2018</v>
      </c>
      <c r="D34" s="299" t="s">
        <v>325</v>
      </c>
      <c r="E34" s="301">
        <v>1675</v>
      </c>
    </row>
    <row r="35" spans="1:6">
      <c r="A35" s="300" t="s">
        <v>337</v>
      </c>
      <c r="B35" s="300" t="s">
        <v>338</v>
      </c>
      <c r="C35" s="299">
        <v>2018</v>
      </c>
      <c r="D35" s="299" t="s">
        <v>326</v>
      </c>
      <c r="E35" s="299">
        <v>2615</v>
      </c>
      <c r="F35" s="88"/>
    </row>
    <row r="36" spans="1:6">
      <c r="A36" s="300" t="s">
        <v>339</v>
      </c>
      <c r="B36" s="300" t="s">
        <v>338</v>
      </c>
      <c r="C36" s="299">
        <v>2018</v>
      </c>
      <c r="D36" s="299" t="s">
        <v>326</v>
      </c>
      <c r="E36" s="301">
        <v>2065</v>
      </c>
    </row>
    <row r="37" spans="1:6">
      <c r="A37" s="300" t="s">
        <v>340</v>
      </c>
      <c r="B37" s="300" t="s">
        <v>338</v>
      </c>
      <c r="C37" s="299">
        <v>2018</v>
      </c>
      <c r="D37" s="299" t="s">
        <v>326</v>
      </c>
      <c r="E37" s="301">
        <v>1825</v>
      </c>
    </row>
    <row r="38" spans="1:6">
      <c r="A38" s="300" t="s">
        <v>337</v>
      </c>
      <c r="B38" s="300" t="s">
        <v>338</v>
      </c>
      <c r="C38" s="299">
        <v>2019</v>
      </c>
      <c r="D38" s="299" t="s">
        <v>315</v>
      </c>
      <c r="E38" s="299">
        <v>2550</v>
      </c>
      <c r="F38" s="88"/>
    </row>
    <row r="39" spans="1:6">
      <c r="A39" s="300" t="s">
        <v>339</v>
      </c>
      <c r="B39" s="300" t="s">
        <v>338</v>
      </c>
      <c r="C39" s="299">
        <v>2019</v>
      </c>
      <c r="D39" s="299" t="s">
        <v>315</v>
      </c>
      <c r="E39" s="301">
        <v>2100</v>
      </c>
    </row>
    <row r="40" spans="1:6">
      <c r="A40" s="300" t="s">
        <v>340</v>
      </c>
      <c r="B40" s="300" t="s">
        <v>338</v>
      </c>
      <c r="C40" s="299">
        <v>2019</v>
      </c>
      <c r="D40" s="299" t="s">
        <v>315</v>
      </c>
      <c r="E40" s="301">
        <v>1885</v>
      </c>
    </row>
    <row r="41" spans="1:6">
      <c r="A41" s="300" t="s">
        <v>337</v>
      </c>
      <c r="B41" s="300" t="s">
        <v>338</v>
      </c>
      <c r="C41" s="299">
        <v>2019</v>
      </c>
      <c r="D41" s="299" t="s">
        <v>316</v>
      </c>
      <c r="E41" s="299">
        <v>2300</v>
      </c>
      <c r="F41" s="88"/>
    </row>
    <row r="42" spans="1:6">
      <c r="A42" s="300" t="s">
        <v>339</v>
      </c>
      <c r="B42" s="300" t="s">
        <v>338</v>
      </c>
      <c r="C42" s="299">
        <v>2019</v>
      </c>
      <c r="D42" s="299" t="s">
        <v>316</v>
      </c>
      <c r="E42" s="301">
        <v>1850</v>
      </c>
    </row>
    <row r="43" spans="1:6">
      <c r="A43" s="300" t="s">
        <v>340</v>
      </c>
      <c r="B43" s="300" t="s">
        <v>338</v>
      </c>
      <c r="C43" s="299">
        <v>2019</v>
      </c>
      <c r="D43" s="299" t="s">
        <v>316</v>
      </c>
      <c r="E43" s="301">
        <v>1675</v>
      </c>
    </row>
    <row r="44" spans="1:6">
      <c r="A44" s="300" t="s">
        <v>337</v>
      </c>
      <c r="B44" s="300" t="s">
        <v>338</v>
      </c>
      <c r="C44" s="299">
        <v>2019</v>
      </c>
      <c r="D44" s="299" t="s">
        <v>317</v>
      </c>
      <c r="E44" s="299">
        <v>2585</v>
      </c>
      <c r="F44" s="88"/>
    </row>
    <row r="45" spans="1:6">
      <c r="A45" s="300" t="s">
        <v>339</v>
      </c>
      <c r="B45" s="300" t="s">
        <v>338</v>
      </c>
      <c r="C45" s="299">
        <v>2019</v>
      </c>
      <c r="D45" s="299" t="s">
        <v>317</v>
      </c>
      <c r="E45" s="301">
        <v>2085</v>
      </c>
    </row>
    <row r="46" spans="1:6">
      <c r="A46" s="300" t="s">
        <v>340</v>
      </c>
      <c r="B46" s="300" t="s">
        <v>338</v>
      </c>
      <c r="C46" s="299">
        <v>2019</v>
      </c>
      <c r="D46" s="299" t="s">
        <v>317</v>
      </c>
      <c r="E46" s="301">
        <v>1785</v>
      </c>
    </row>
    <row r="47" spans="1:6">
      <c r="A47" s="300" t="s">
        <v>337</v>
      </c>
      <c r="B47" s="300" t="s">
        <v>338</v>
      </c>
      <c r="C47" s="299">
        <v>2019</v>
      </c>
      <c r="D47" s="299" t="s">
        <v>318</v>
      </c>
      <c r="E47" s="299">
        <v>2500</v>
      </c>
      <c r="F47" s="88"/>
    </row>
    <row r="48" spans="1:6">
      <c r="A48" s="300" t="s">
        <v>339</v>
      </c>
      <c r="B48" s="300" t="s">
        <v>338</v>
      </c>
      <c r="C48" s="299">
        <v>2019</v>
      </c>
      <c r="D48" s="299" t="s">
        <v>318</v>
      </c>
      <c r="E48" s="301">
        <v>2000</v>
      </c>
    </row>
    <row r="49" spans="1:6">
      <c r="A49" s="300" t="s">
        <v>340</v>
      </c>
      <c r="B49" s="300" t="s">
        <v>338</v>
      </c>
      <c r="C49" s="299">
        <v>2019</v>
      </c>
      <c r="D49" s="299" t="s">
        <v>318</v>
      </c>
      <c r="E49" s="301">
        <v>1575</v>
      </c>
    </row>
    <row r="50" spans="1:6">
      <c r="A50" s="300" t="s">
        <v>337</v>
      </c>
      <c r="B50" s="300" t="s">
        <v>338</v>
      </c>
      <c r="C50" s="299">
        <v>2019</v>
      </c>
      <c r="D50" s="299" t="s">
        <v>319</v>
      </c>
      <c r="E50" s="299">
        <v>2375</v>
      </c>
      <c r="F50" s="88"/>
    </row>
    <row r="51" spans="1:6">
      <c r="A51" s="300" t="s">
        <v>339</v>
      </c>
      <c r="B51" s="300" t="s">
        <v>338</v>
      </c>
      <c r="C51" s="299">
        <v>2019</v>
      </c>
      <c r="D51" s="299" t="s">
        <v>319</v>
      </c>
      <c r="E51" s="301">
        <v>2275</v>
      </c>
    </row>
    <row r="52" spans="1:6">
      <c r="A52" s="300" t="s">
        <v>340</v>
      </c>
      <c r="B52" s="300" t="s">
        <v>338</v>
      </c>
      <c r="C52" s="299">
        <v>2019</v>
      </c>
      <c r="D52" s="299" t="s">
        <v>319</v>
      </c>
      <c r="E52" s="301">
        <v>1935</v>
      </c>
    </row>
    <row r="53" spans="1:6">
      <c r="A53" s="300" t="s">
        <v>337</v>
      </c>
      <c r="B53" s="300" t="s">
        <v>338</v>
      </c>
      <c r="C53" s="299">
        <v>2019</v>
      </c>
      <c r="D53" s="299" t="s">
        <v>320</v>
      </c>
      <c r="E53" s="299">
        <v>2300</v>
      </c>
    </row>
    <row r="54" spans="1:6">
      <c r="A54" s="300" t="s">
        <v>339</v>
      </c>
      <c r="B54" s="300" t="s">
        <v>338</v>
      </c>
      <c r="C54" s="299">
        <v>2019</v>
      </c>
      <c r="D54" s="299" t="s">
        <v>320</v>
      </c>
      <c r="E54" s="301">
        <v>2200</v>
      </c>
    </row>
    <row r="55" spans="1:6">
      <c r="A55" s="300" t="s">
        <v>340</v>
      </c>
      <c r="B55" s="300" t="s">
        <v>338</v>
      </c>
      <c r="C55" s="299">
        <v>2019</v>
      </c>
      <c r="D55" s="299" t="s">
        <v>320</v>
      </c>
      <c r="E55" s="301">
        <v>1985</v>
      </c>
    </row>
    <row r="56" spans="1:6">
      <c r="A56" s="300" t="s">
        <v>337</v>
      </c>
      <c r="B56" s="300" t="s">
        <v>338</v>
      </c>
      <c r="C56" s="299">
        <v>2019</v>
      </c>
      <c r="D56" s="299" t="s">
        <v>321</v>
      </c>
      <c r="E56" s="299">
        <v>2375</v>
      </c>
    </row>
    <row r="57" spans="1:6">
      <c r="A57" s="300" t="s">
        <v>339</v>
      </c>
      <c r="B57" s="300" t="s">
        <v>338</v>
      </c>
      <c r="C57" s="299">
        <v>2019</v>
      </c>
      <c r="D57" s="299" t="s">
        <v>321</v>
      </c>
      <c r="E57" s="301">
        <v>2100</v>
      </c>
    </row>
    <row r="58" spans="1:6">
      <c r="A58" s="300" t="s">
        <v>340</v>
      </c>
      <c r="B58" s="300" t="s">
        <v>338</v>
      </c>
      <c r="C58" s="299">
        <v>2019</v>
      </c>
      <c r="D58" s="299" t="s">
        <v>321</v>
      </c>
      <c r="E58" s="301">
        <v>1825</v>
      </c>
    </row>
    <row r="59" spans="1:6">
      <c r="A59" s="300" t="s">
        <v>337</v>
      </c>
      <c r="B59" s="300" t="s">
        <v>338</v>
      </c>
      <c r="C59" s="299">
        <v>2019</v>
      </c>
      <c r="D59" s="299" t="s">
        <v>322</v>
      </c>
      <c r="E59" s="299">
        <v>2400</v>
      </c>
    </row>
    <row r="60" spans="1:6">
      <c r="A60" s="300" t="s">
        <v>339</v>
      </c>
      <c r="B60" s="300" t="s">
        <v>338</v>
      </c>
      <c r="C60" s="299">
        <v>2019</v>
      </c>
      <c r="D60" s="299" t="s">
        <v>322</v>
      </c>
      <c r="E60" s="301">
        <v>1825</v>
      </c>
    </row>
    <row r="61" spans="1:6">
      <c r="A61" s="300" t="s">
        <v>340</v>
      </c>
      <c r="B61" s="300" t="s">
        <v>338</v>
      </c>
      <c r="C61" s="299">
        <v>2019</v>
      </c>
      <c r="D61" s="299" t="s">
        <v>322</v>
      </c>
      <c r="E61" s="301">
        <v>1505</v>
      </c>
    </row>
    <row r="62" spans="1:6">
      <c r="A62" s="300" t="s">
        <v>337</v>
      </c>
      <c r="B62" s="300" t="s">
        <v>338</v>
      </c>
      <c r="C62" s="299">
        <v>2019</v>
      </c>
      <c r="D62" s="299" t="s">
        <v>323</v>
      </c>
      <c r="E62" s="299">
        <v>2350</v>
      </c>
    </row>
    <row r="63" spans="1:6">
      <c r="A63" s="300" t="s">
        <v>339</v>
      </c>
      <c r="B63" s="300" t="s">
        <v>338</v>
      </c>
      <c r="C63" s="299">
        <v>2019</v>
      </c>
      <c r="D63" s="299" t="s">
        <v>323</v>
      </c>
      <c r="E63" s="301">
        <v>1930</v>
      </c>
    </row>
    <row r="64" spans="1:6">
      <c r="A64" s="300" t="s">
        <v>340</v>
      </c>
      <c r="B64" s="300" t="s">
        <v>338</v>
      </c>
      <c r="C64" s="299">
        <v>2019</v>
      </c>
      <c r="D64" s="299" t="s">
        <v>323</v>
      </c>
      <c r="E64" s="301">
        <v>1625</v>
      </c>
    </row>
    <row r="65" spans="1:5">
      <c r="A65" s="300" t="s">
        <v>337</v>
      </c>
      <c r="B65" s="300" t="s">
        <v>338</v>
      </c>
      <c r="C65" s="299">
        <v>2019</v>
      </c>
      <c r="D65" s="299" t="s">
        <v>324</v>
      </c>
      <c r="E65" s="299">
        <v>2300</v>
      </c>
    </row>
    <row r="66" spans="1:5">
      <c r="A66" s="300" t="s">
        <v>339</v>
      </c>
      <c r="B66" s="300" t="s">
        <v>338</v>
      </c>
      <c r="C66" s="299">
        <v>2019</v>
      </c>
      <c r="D66" s="299" t="s">
        <v>324</v>
      </c>
      <c r="E66" s="301">
        <v>1895</v>
      </c>
    </row>
    <row r="67" spans="1:5">
      <c r="A67" s="300" t="s">
        <v>340</v>
      </c>
      <c r="B67" s="300" t="s">
        <v>338</v>
      </c>
      <c r="C67" s="299">
        <v>2019</v>
      </c>
      <c r="D67" s="299" t="s">
        <v>324</v>
      </c>
      <c r="E67" s="301">
        <v>1590</v>
      </c>
    </row>
    <row r="68" spans="1:5">
      <c r="A68" s="300" t="s">
        <v>337</v>
      </c>
      <c r="B68" s="300" t="s">
        <v>338</v>
      </c>
      <c r="C68" s="299">
        <v>2019</v>
      </c>
      <c r="D68" s="299" t="s">
        <v>325</v>
      </c>
      <c r="E68" s="299">
        <v>2340</v>
      </c>
    </row>
    <row r="69" spans="1:5">
      <c r="A69" s="300" t="s">
        <v>339</v>
      </c>
      <c r="B69" s="300" t="s">
        <v>338</v>
      </c>
      <c r="C69" s="299">
        <v>2019</v>
      </c>
      <c r="D69" s="299" t="s">
        <v>325</v>
      </c>
      <c r="E69" s="301">
        <v>1940</v>
      </c>
    </row>
    <row r="70" spans="1:5">
      <c r="A70" s="300" t="s">
        <v>340</v>
      </c>
      <c r="B70" s="300" t="s">
        <v>338</v>
      </c>
      <c r="C70" s="299">
        <v>2019</v>
      </c>
      <c r="D70" s="299" t="s">
        <v>325</v>
      </c>
      <c r="E70" s="301">
        <v>1640</v>
      </c>
    </row>
    <row r="71" spans="1:5">
      <c r="A71" s="300" t="s">
        <v>337</v>
      </c>
      <c r="B71" s="300" t="s">
        <v>338</v>
      </c>
      <c r="C71" s="299">
        <v>2019</v>
      </c>
      <c r="D71" s="299" t="s">
        <v>326</v>
      </c>
      <c r="E71" s="299">
        <v>2280</v>
      </c>
    </row>
    <row r="72" spans="1:5">
      <c r="A72" s="300" t="s">
        <v>339</v>
      </c>
      <c r="B72" s="300" t="s">
        <v>338</v>
      </c>
      <c r="C72" s="299">
        <v>2019</v>
      </c>
      <c r="D72" s="299" t="s">
        <v>326</v>
      </c>
      <c r="E72" s="301">
        <v>1930</v>
      </c>
    </row>
    <row r="73" spans="1:5">
      <c r="A73" s="300" t="s">
        <v>340</v>
      </c>
      <c r="B73" s="300" t="s">
        <v>338</v>
      </c>
      <c r="C73" s="299">
        <v>2019</v>
      </c>
      <c r="D73" s="299" t="s">
        <v>326</v>
      </c>
      <c r="E73" s="301">
        <v>1630</v>
      </c>
    </row>
    <row r="74" spans="1:5">
      <c r="A74" s="300" t="s">
        <v>337</v>
      </c>
      <c r="B74" s="300" t="s">
        <v>338</v>
      </c>
      <c r="C74" s="299">
        <v>2020</v>
      </c>
      <c r="D74" s="299" t="s">
        <v>315</v>
      </c>
      <c r="E74" s="299">
        <v>2200</v>
      </c>
    </row>
    <row r="75" spans="1:5">
      <c r="A75" s="300" t="s">
        <v>339</v>
      </c>
      <c r="B75" s="300" t="s">
        <v>338</v>
      </c>
      <c r="C75" s="299">
        <v>2020</v>
      </c>
      <c r="D75" s="299" t="s">
        <v>315</v>
      </c>
      <c r="E75" s="301">
        <v>1750</v>
      </c>
    </row>
    <row r="76" spans="1:5">
      <c r="A76" s="300" t="s">
        <v>340</v>
      </c>
      <c r="B76" s="300" t="s">
        <v>338</v>
      </c>
      <c r="C76" s="299">
        <v>2020</v>
      </c>
      <c r="D76" s="299" t="s">
        <v>315</v>
      </c>
      <c r="E76" s="301">
        <v>1500</v>
      </c>
    </row>
    <row r="77" spans="1:5">
      <c r="A77" s="300" t="s">
        <v>337</v>
      </c>
      <c r="B77" s="300" t="s">
        <v>338</v>
      </c>
      <c r="C77" s="299">
        <v>2020</v>
      </c>
      <c r="D77" s="299" t="s">
        <v>316</v>
      </c>
      <c r="E77" s="299">
        <v>2100</v>
      </c>
    </row>
    <row r="78" spans="1:5">
      <c r="A78" s="300" t="s">
        <v>339</v>
      </c>
      <c r="B78" s="300" t="s">
        <v>338</v>
      </c>
      <c r="C78" s="299">
        <v>2020</v>
      </c>
      <c r="D78" s="299" t="s">
        <v>316</v>
      </c>
      <c r="E78" s="301">
        <v>1700</v>
      </c>
    </row>
    <row r="79" spans="1:5">
      <c r="A79" s="300" t="s">
        <v>340</v>
      </c>
      <c r="B79" s="300" t="s">
        <v>338</v>
      </c>
      <c r="C79" s="299">
        <v>2020</v>
      </c>
      <c r="D79" s="299" t="s">
        <v>316</v>
      </c>
      <c r="E79" s="301">
        <v>1550</v>
      </c>
    </row>
    <row r="80" spans="1:5">
      <c r="A80" s="300" t="s">
        <v>337</v>
      </c>
      <c r="B80" s="300" t="s">
        <v>338</v>
      </c>
      <c r="C80" s="299">
        <v>2020</v>
      </c>
      <c r="D80" s="299" t="s">
        <v>317</v>
      </c>
      <c r="E80" s="299">
        <v>1850</v>
      </c>
    </row>
    <row r="81" spans="1:5">
      <c r="A81" s="300" t="s">
        <v>339</v>
      </c>
      <c r="B81" s="300" t="s">
        <v>338</v>
      </c>
      <c r="C81" s="299">
        <v>2020</v>
      </c>
      <c r="D81" s="299" t="s">
        <v>317</v>
      </c>
      <c r="E81" s="301">
        <v>1450</v>
      </c>
    </row>
    <row r="82" spans="1:5">
      <c r="A82" s="300" t="s">
        <v>340</v>
      </c>
      <c r="B82" s="300" t="s">
        <v>338</v>
      </c>
      <c r="C82" s="299">
        <v>2020</v>
      </c>
      <c r="D82" s="299" t="s">
        <v>317</v>
      </c>
      <c r="E82" s="301">
        <v>1350</v>
      </c>
    </row>
    <row r="83" spans="1:5">
      <c r="A83" s="300" t="s">
        <v>337</v>
      </c>
      <c r="B83" s="300" t="s">
        <v>338</v>
      </c>
      <c r="C83" s="299">
        <v>2020</v>
      </c>
      <c r="D83" s="299" t="s">
        <v>318</v>
      </c>
      <c r="E83" s="299">
        <v>1650</v>
      </c>
    </row>
    <row r="84" spans="1:5">
      <c r="A84" s="300" t="s">
        <v>339</v>
      </c>
      <c r="B84" s="300" t="s">
        <v>338</v>
      </c>
      <c r="C84" s="299">
        <v>2020</v>
      </c>
      <c r="D84" s="299" t="s">
        <v>318</v>
      </c>
      <c r="E84" s="301">
        <v>1425</v>
      </c>
    </row>
    <row r="85" spans="1:5">
      <c r="A85" s="300" t="s">
        <v>340</v>
      </c>
      <c r="B85" s="300" t="s">
        <v>338</v>
      </c>
      <c r="C85" s="299">
        <v>2020</v>
      </c>
      <c r="D85" s="299" t="s">
        <v>318</v>
      </c>
      <c r="E85" s="301">
        <v>1315</v>
      </c>
    </row>
    <row r="86" spans="1:5">
      <c r="A86" s="300" t="s">
        <v>337</v>
      </c>
      <c r="B86" s="300" t="s">
        <v>338</v>
      </c>
      <c r="C86" s="299">
        <v>2020</v>
      </c>
      <c r="D86" s="299" t="s">
        <v>319</v>
      </c>
      <c r="E86" s="299">
        <v>1880</v>
      </c>
    </row>
    <row r="87" spans="1:5">
      <c r="A87" s="300" t="s">
        <v>339</v>
      </c>
      <c r="B87" s="300" t="s">
        <v>338</v>
      </c>
      <c r="C87" s="299">
        <v>2020</v>
      </c>
      <c r="D87" s="299" t="s">
        <v>319</v>
      </c>
      <c r="E87" s="301">
        <v>1550</v>
      </c>
    </row>
    <row r="88" spans="1:5">
      <c r="A88" s="300" t="s">
        <v>340</v>
      </c>
      <c r="B88" s="300" t="s">
        <v>338</v>
      </c>
      <c r="C88" s="299">
        <v>2020</v>
      </c>
      <c r="D88" s="299" t="s">
        <v>319</v>
      </c>
      <c r="E88" s="301">
        <v>1350</v>
      </c>
    </row>
    <row r="89" spans="1:5">
      <c r="A89" s="300" t="s">
        <v>337</v>
      </c>
      <c r="B89" s="300" t="s">
        <v>338</v>
      </c>
      <c r="C89" s="299">
        <v>2020</v>
      </c>
      <c r="D89" s="299" t="s">
        <v>320</v>
      </c>
      <c r="E89" s="299">
        <v>1950</v>
      </c>
    </row>
    <row r="90" spans="1:5">
      <c r="A90" s="300" t="s">
        <v>339</v>
      </c>
      <c r="B90" s="300" t="s">
        <v>338</v>
      </c>
      <c r="C90" s="299">
        <v>2020</v>
      </c>
      <c r="D90" s="299" t="s">
        <v>320</v>
      </c>
      <c r="E90" s="301">
        <v>1600</v>
      </c>
    </row>
    <row r="91" spans="1:5">
      <c r="A91" s="300" t="s">
        <v>340</v>
      </c>
      <c r="B91" s="300" t="s">
        <v>338</v>
      </c>
      <c r="C91" s="299">
        <v>2020</v>
      </c>
      <c r="D91" s="299" t="s">
        <v>320</v>
      </c>
      <c r="E91" s="301">
        <v>1400</v>
      </c>
    </row>
    <row r="92" spans="1:5">
      <c r="A92" s="300" t="s">
        <v>337</v>
      </c>
      <c r="B92" s="300" t="s">
        <v>338</v>
      </c>
      <c r="C92" s="299">
        <v>2020</v>
      </c>
      <c r="D92" s="299" t="s">
        <v>321</v>
      </c>
      <c r="E92" s="299">
        <v>1850</v>
      </c>
    </row>
    <row r="93" spans="1:5">
      <c r="A93" s="300" t="s">
        <v>339</v>
      </c>
      <c r="B93" s="300" t="s">
        <v>338</v>
      </c>
      <c r="C93" s="299">
        <v>2020</v>
      </c>
      <c r="D93" s="299" t="s">
        <v>321</v>
      </c>
      <c r="E93" s="301">
        <v>1550</v>
      </c>
    </row>
    <row r="94" spans="1:5">
      <c r="A94" s="300" t="s">
        <v>340</v>
      </c>
      <c r="B94" s="300" t="s">
        <v>338</v>
      </c>
      <c r="C94" s="299">
        <v>2020</v>
      </c>
      <c r="D94" s="299" t="s">
        <v>321</v>
      </c>
      <c r="E94" s="301">
        <v>1350</v>
      </c>
    </row>
    <row r="95" spans="1:5">
      <c r="A95" s="300" t="s">
        <v>337</v>
      </c>
      <c r="B95" s="300" t="s">
        <v>338</v>
      </c>
      <c r="C95" s="299">
        <v>2020</v>
      </c>
      <c r="D95" s="299" t="s">
        <v>322</v>
      </c>
      <c r="E95" s="299">
        <v>1950</v>
      </c>
    </row>
    <row r="96" spans="1:5">
      <c r="A96" s="300" t="s">
        <v>339</v>
      </c>
      <c r="B96" s="300" t="s">
        <v>338</v>
      </c>
      <c r="C96" s="299">
        <v>2020</v>
      </c>
      <c r="D96" s="299" t="s">
        <v>322</v>
      </c>
      <c r="E96" s="301">
        <v>1575</v>
      </c>
    </row>
    <row r="97" spans="1:5">
      <c r="A97" s="300" t="s">
        <v>340</v>
      </c>
      <c r="B97" s="300" t="s">
        <v>338</v>
      </c>
      <c r="C97" s="299">
        <v>2020</v>
      </c>
      <c r="D97" s="299" t="s">
        <v>322</v>
      </c>
      <c r="E97" s="301">
        <v>1400</v>
      </c>
    </row>
    <row r="98" spans="1:5">
      <c r="A98" s="300" t="s">
        <v>337</v>
      </c>
      <c r="B98" s="300" t="s">
        <v>338</v>
      </c>
      <c r="C98" s="299">
        <v>2020</v>
      </c>
      <c r="D98" s="299" t="s">
        <v>323</v>
      </c>
      <c r="E98" s="299">
        <v>2150</v>
      </c>
    </row>
    <row r="99" spans="1:5">
      <c r="A99" s="300" t="s">
        <v>339</v>
      </c>
      <c r="B99" s="300" t="s">
        <v>338</v>
      </c>
      <c r="C99" s="299">
        <v>2020</v>
      </c>
      <c r="D99" s="299" t="s">
        <v>323</v>
      </c>
      <c r="E99" s="301">
        <v>1650</v>
      </c>
    </row>
    <row r="100" spans="1:5">
      <c r="A100" s="300" t="s">
        <v>340</v>
      </c>
      <c r="B100" s="300" t="s">
        <v>338</v>
      </c>
      <c r="C100" s="299">
        <v>2020</v>
      </c>
      <c r="D100" s="299" t="s">
        <v>323</v>
      </c>
      <c r="E100" s="301">
        <v>1480</v>
      </c>
    </row>
    <row r="101" spans="1:5">
      <c r="A101" s="300" t="s">
        <v>337</v>
      </c>
      <c r="B101" s="300" t="s">
        <v>338</v>
      </c>
      <c r="C101" s="299">
        <v>2020</v>
      </c>
      <c r="D101" s="299" t="s">
        <v>324</v>
      </c>
      <c r="E101" s="299">
        <v>2350</v>
      </c>
    </row>
    <row r="102" spans="1:5">
      <c r="A102" s="300" t="s">
        <v>339</v>
      </c>
      <c r="B102" s="300" t="s">
        <v>338</v>
      </c>
      <c r="C102" s="299">
        <v>2020</v>
      </c>
      <c r="D102" s="299" t="s">
        <v>324</v>
      </c>
      <c r="E102" s="301">
        <v>1700</v>
      </c>
    </row>
    <row r="103" spans="1:5">
      <c r="A103" s="300" t="s">
        <v>340</v>
      </c>
      <c r="B103" s="300" t="s">
        <v>338</v>
      </c>
      <c r="C103" s="299">
        <v>2020</v>
      </c>
      <c r="D103" s="299" t="s">
        <v>324</v>
      </c>
      <c r="E103" s="301">
        <v>1530</v>
      </c>
    </row>
    <row r="104" spans="1:5">
      <c r="A104" s="300" t="s">
        <v>337</v>
      </c>
      <c r="B104" s="300" t="s">
        <v>338</v>
      </c>
      <c r="C104" s="299">
        <v>2020</v>
      </c>
      <c r="D104" s="299" t="s">
        <v>325</v>
      </c>
      <c r="E104" s="299">
        <v>2800</v>
      </c>
    </row>
    <row r="105" spans="1:5">
      <c r="A105" s="300" t="s">
        <v>339</v>
      </c>
      <c r="B105" s="300" t="s">
        <v>338</v>
      </c>
      <c r="C105" s="299">
        <v>2020</v>
      </c>
      <c r="D105" s="299" t="s">
        <v>325</v>
      </c>
      <c r="E105" s="301">
        <v>2050</v>
      </c>
    </row>
    <row r="106" spans="1:5">
      <c r="A106" s="300" t="s">
        <v>340</v>
      </c>
      <c r="B106" s="300" t="s">
        <v>338</v>
      </c>
      <c r="C106" s="299">
        <v>2020</v>
      </c>
      <c r="D106" s="299" t="s">
        <v>325</v>
      </c>
      <c r="E106" s="301">
        <v>1820</v>
      </c>
    </row>
    <row r="107" spans="1:5">
      <c r="A107" s="300" t="s">
        <v>337</v>
      </c>
      <c r="B107" s="300" t="s">
        <v>338</v>
      </c>
      <c r="C107" s="299">
        <v>2020</v>
      </c>
      <c r="D107" s="299" t="s">
        <v>326</v>
      </c>
      <c r="E107" s="299">
        <v>2600</v>
      </c>
    </row>
    <row r="108" spans="1:5">
      <c r="A108" s="300" t="s">
        <v>339</v>
      </c>
      <c r="B108" s="300" t="s">
        <v>338</v>
      </c>
      <c r="C108" s="299">
        <v>2020</v>
      </c>
      <c r="D108" s="299" t="s">
        <v>326</v>
      </c>
      <c r="E108" s="301">
        <v>2050</v>
      </c>
    </row>
    <row r="109" spans="1:5">
      <c r="A109" s="300" t="s">
        <v>340</v>
      </c>
      <c r="B109" s="300" t="s">
        <v>338</v>
      </c>
      <c r="C109" s="299">
        <v>2020</v>
      </c>
      <c r="D109" s="299" t="s">
        <v>326</v>
      </c>
      <c r="E109" s="301">
        <v>1810</v>
      </c>
    </row>
    <row r="110" spans="1:5">
      <c r="A110" s="300" t="s">
        <v>337</v>
      </c>
      <c r="B110" s="300" t="s">
        <v>338</v>
      </c>
      <c r="C110" s="299">
        <v>2021</v>
      </c>
      <c r="D110" s="299" t="s">
        <v>315</v>
      </c>
      <c r="E110" s="299">
        <v>2350</v>
      </c>
    </row>
    <row r="111" spans="1:5">
      <c r="A111" s="300" t="s">
        <v>339</v>
      </c>
      <c r="B111" s="300" t="s">
        <v>338</v>
      </c>
      <c r="C111" s="299">
        <v>2021</v>
      </c>
      <c r="D111" s="299" t="s">
        <v>315</v>
      </c>
      <c r="E111" s="301">
        <v>1900</v>
      </c>
    </row>
    <row r="112" spans="1:5">
      <c r="A112" s="300" t="s">
        <v>340</v>
      </c>
      <c r="B112" s="300" t="s">
        <v>338</v>
      </c>
      <c r="C112" s="299">
        <v>2021</v>
      </c>
      <c r="D112" s="299" t="s">
        <v>315</v>
      </c>
      <c r="E112" s="301">
        <v>1685</v>
      </c>
    </row>
    <row r="113" spans="1:5">
      <c r="A113" s="300" t="s">
        <v>337</v>
      </c>
      <c r="B113" s="300" t="s">
        <v>338</v>
      </c>
      <c r="C113" s="299">
        <v>2021</v>
      </c>
      <c r="D113" s="299" t="s">
        <v>316</v>
      </c>
      <c r="E113" s="299">
        <v>2850</v>
      </c>
    </row>
    <row r="114" spans="1:5">
      <c r="A114" s="300" t="s">
        <v>339</v>
      </c>
      <c r="B114" s="300" t="s">
        <v>338</v>
      </c>
      <c r="C114" s="299">
        <v>2021</v>
      </c>
      <c r="D114" s="299" t="s">
        <v>316</v>
      </c>
      <c r="E114" s="301">
        <v>2400</v>
      </c>
    </row>
    <row r="115" spans="1:5">
      <c r="A115" s="300" t="s">
        <v>340</v>
      </c>
      <c r="B115" s="300" t="s">
        <v>338</v>
      </c>
      <c r="C115" s="299">
        <v>2021</v>
      </c>
      <c r="D115" s="299" t="s">
        <v>316</v>
      </c>
      <c r="E115" s="301">
        <v>2225</v>
      </c>
    </row>
    <row r="116" spans="1:5">
      <c r="A116" s="300" t="s">
        <v>337</v>
      </c>
      <c r="B116" s="300" t="s">
        <v>338</v>
      </c>
      <c r="C116" s="299">
        <v>2021</v>
      </c>
      <c r="D116" s="299" t="s">
        <v>317</v>
      </c>
      <c r="E116" s="299">
        <v>3350</v>
      </c>
    </row>
    <row r="117" spans="1:5">
      <c r="A117" s="300" t="s">
        <v>339</v>
      </c>
      <c r="B117" s="300" t="s">
        <v>338</v>
      </c>
      <c r="C117" s="299">
        <v>2021</v>
      </c>
      <c r="D117" s="299" t="s">
        <v>317</v>
      </c>
      <c r="E117" s="301">
        <v>2850</v>
      </c>
    </row>
    <row r="118" spans="1:5">
      <c r="A118" s="300" t="s">
        <v>340</v>
      </c>
      <c r="B118" s="300" t="s">
        <v>338</v>
      </c>
      <c r="C118" s="299">
        <v>2021</v>
      </c>
      <c r="D118" s="299" t="s">
        <v>317</v>
      </c>
      <c r="E118" s="301">
        <v>2550</v>
      </c>
    </row>
    <row r="119" spans="1:5">
      <c r="A119" s="300" t="s">
        <v>337</v>
      </c>
      <c r="B119" s="300" t="s">
        <v>338</v>
      </c>
      <c r="C119" s="299">
        <v>2021</v>
      </c>
      <c r="D119" s="299" t="s">
        <v>318</v>
      </c>
      <c r="E119" s="299">
        <v>3750</v>
      </c>
    </row>
    <row r="120" spans="1:5">
      <c r="A120" s="300" t="s">
        <v>339</v>
      </c>
      <c r="B120" s="300" t="s">
        <v>338</v>
      </c>
      <c r="C120" s="299">
        <v>2021</v>
      </c>
      <c r="D120" s="299" t="s">
        <v>318</v>
      </c>
      <c r="E120" s="301">
        <v>3250</v>
      </c>
    </row>
    <row r="121" spans="1:5">
      <c r="A121" s="300" t="s">
        <v>340</v>
      </c>
      <c r="B121" s="300" t="s">
        <v>338</v>
      </c>
      <c r="C121" s="299">
        <v>2021</v>
      </c>
      <c r="D121" s="299" t="s">
        <v>318</v>
      </c>
      <c r="E121" s="301">
        <v>2825</v>
      </c>
    </row>
    <row r="122" spans="1:5">
      <c r="A122" s="300" t="s">
        <v>337</v>
      </c>
      <c r="B122" s="300" t="s">
        <v>338</v>
      </c>
      <c r="C122" s="299">
        <v>2021</v>
      </c>
      <c r="D122" s="299" t="s">
        <v>319</v>
      </c>
      <c r="E122" s="299">
        <v>2900</v>
      </c>
    </row>
    <row r="123" spans="1:5">
      <c r="A123" s="300" t="s">
        <v>339</v>
      </c>
      <c r="B123" s="300" t="s">
        <v>338</v>
      </c>
      <c r="C123" s="299">
        <v>2021</v>
      </c>
      <c r="D123" s="299" t="s">
        <v>319</v>
      </c>
      <c r="E123" s="301">
        <v>2800</v>
      </c>
    </row>
    <row r="124" spans="1:5">
      <c r="A124" s="300" t="s">
        <v>340</v>
      </c>
      <c r="B124" s="300" t="s">
        <v>338</v>
      </c>
      <c r="C124" s="299">
        <v>2021</v>
      </c>
      <c r="D124" s="299" t="s">
        <v>319</v>
      </c>
      <c r="E124" s="301">
        <v>2460</v>
      </c>
    </row>
    <row r="125" spans="1:5">
      <c r="A125" s="300" t="s">
        <v>337</v>
      </c>
      <c r="B125" s="300" t="s">
        <v>338</v>
      </c>
      <c r="C125" s="299">
        <v>2021</v>
      </c>
      <c r="D125" s="299" t="s">
        <v>320</v>
      </c>
      <c r="E125" s="299">
        <v>2700</v>
      </c>
    </row>
    <row r="126" spans="1:5">
      <c r="A126" s="300" t="s">
        <v>339</v>
      </c>
      <c r="B126" s="300" t="s">
        <v>338</v>
      </c>
      <c r="C126" s="299">
        <v>2021</v>
      </c>
      <c r="D126" s="299" t="s">
        <v>320</v>
      </c>
      <c r="E126" s="301">
        <v>2600</v>
      </c>
    </row>
    <row r="127" spans="1:5">
      <c r="A127" s="300" t="s">
        <v>340</v>
      </c>
      <c r="B127" s="300" t="s">
        <v>338</v>
      </c>
      <c r="C127" s="299">
        <v>2021</v>
      </c>
      <c r="D127" s="299" t="s">
        <v>320</v>
      </c>
      <c r="E127" s="301">
        <v>2385</v>
      </c>
    </row>
    <row r="128" spans="1:5">
      <c r="A128" s="300" t="s">
        <v>337</v>
      </c>
      <c r="B128" s="300" t="s">
        <v>338</v>
      </c>
      <c r="C128" s="299">
        <v>2021</v>
      </c>
      <c r="D128" s="299" t="s">
        <v>321</v>
      </c>
      <c r="E128" s="299">
        <v>3100</v>
      </c>
    </row>
    <row r="129" spans="1:5">
      <c r="A129" s="300" t="s">
        <v>339</v>
      </c>
      <c r="B129" s="300" t="s">
        <v>338</v>
      </c>
      <c r="C129" s="299">
        <v>2021</v>
      </c>
      <c r="D129" s="299" t="s">
        <v>321</v>
      </c>
      <c r="E129" s="301">
        <v>2825</v>
      </c>
    </row>
    <row r="130" spans="1:5">
      <c r="A130" s="300" t="s">
        <v>340</v>
      </c>
      <c r="B130" s="300" t="s">
        <v>338</v>
      </c>
      <c r="C130" s="299">
        <v>2021</v>
      </c>
      <c r="D130" s="299" t="s">
        <v>321</v>
      </c>
      <c r="E130" s="301">
        <v>2550</v>
      </c>
    </row>
    <row r="131" spans="1:5">
      <c r="A131" s="300" t="s">
        <v>337</v>
      </c>
      <c r="B131" s="300" t="s">
        <v>338</v>
      </c>
      <c r="C131" s="299">
        <v>2021</v>
      </c>
      <c r="D131" s="299" t="s">
        <v>322</v>
      </c>
      <c r="E131" s="299">
        <v>3575</v>
      </c>
    </row>
    <row r="132" spans="1:5">
      <c r="A132" s="300" t="s">
        <v>339</v>
      </c>
      <c r="B132" s="300" t="s">
        <v>338</v>
      </c>
      <c r="C132" s="299">
        <v>2021</v>
      </c>
      <c r="D132" s="299" t="s">
        <v>322</v>
      </c>
      <c r="E132" s="301">
        <v>3000</v>
      </c>
    </row>
    <row r="133" spans="1:5">
      <c r="A133" s="300" t="s">
        <v>340</v>
      </c>
      <c r="B133" s="300" t="s">
        <v>338</v>
      </c>
      <c r="C133" s="299">
        <v>2021</v>
      </c>
      <c r="D133" s="299" t="s">
        <v>322</v>
      </c>
      <c r="E133" s="301">
        <v>2680</v>
      </c>
    </row>
    <row r="134" spans="1:5">
      <c r="A134" s="300" t="s">
        <v>337</v>
      </c>
      <c r="B134" s="300" t="s">
        <v>338</v>
      </c>
      <c r="C134" s="299">
        <v>2021</v>
      </c>
      <c r="D134" s="299" t="s">
        <v>323</v>
      </c>
      <c r="E134" s="299">
        <v>3670</v>
      </c>
    </row>
    <row r="135" spans="1:5">
      <c r="A135" s="300" t="s">
        <v>339</v>
      </c>
      <c r="B135" s="300" t="s">
        <v>338</v>
      </c>
      <c r="C135" s="299">
        <v>2021</v>
      </c>
      <c r="D135" s="299" t="s">
        <v>323</v>
      </c>
      <c r="E135" s="301">
        <v>3250</v>
      </c>
    </row>
    <row r="136" spans="1:5">
      <c r="A136" s="300" t="s">
        <v>340</v>
      </c>
      <c r="B136" s="300" t="s">
        <v>338</v>
      </c>
      <c r="C136" s="299">
        <v>2021</v>
      </c>
      <c r="D136" s="299" t="s">
        <v>323</v>
      </c>
      <c r="E136" s="301">
        <v>2945</v>
      </c>
    </row>
    <row r="137" spans="1:5">
      <c r="A137" s="300" t="s">
        <v>337</v>
      </c>
      <c r="B137" s="300" t="s">
        <v>338</v>
      </c>
      <c r="C137" s="299">
        <v>2021</v>
      </c>
      <c r="D137" s="299" t="s">
        <v>324</v>
      </c>
      <c r="E137" s="299">
        <v>3780</v>
      </c>
    </row>
    <row r="138" spans="1:5">
      <c r="A138" s="300" t="s">
        <v>339</v>
      </c>
      <c r="B138" s="300" t="s">
        <v>338</v>
      </c>
      <c r="C138" s="299">
        <v>2021</v>
      </c>
      <c r="D138" s="299" t="s">
        <v>324</v>
      </c>
      <c r="E138" s="301">
        <v>3375</v>
      </c>
    </row>
    <row r="139" spans="1:5">
      <c r="A139" s="300" t="s">
        <v>340</v>
      </c>
      <c r="B139" s="300" t="s">
        <v>338</v>
      </c>
      <c r="C139" s="299">
        <v>2021</v>
      </c>
      <c r="D139" s="299" t="s">
        <v>324</v>
      </c>
      <c r="E139" s="301">
        <v>3070</v>
      </c>
    </row>
    <row r="140" spans="1:5">
      <c r="A140" s="300" t="s">
        <v>337</v>
      </c>
      <c r="B140" s="300" t="s">
        <v>338</v>
      </c>
      <c r="C140" s="299">
        <v>2021</v>
      </c>
      <c r="D140" s="299" t="s">
        <v>325</v>
      </c>
      <c r="E140" s="299">
        <v>3850</v>
      </c>
    </row>
    <row r="141" spans="1:5">
      <c r="A141" s="300" t="s">
        <v>339</v>
      </c>
      <c r="B141" s="300" t="s">
        <v>338</v>
      </c>
      <c r="C141" s="299">
        <v>2021</v>
      </c>
      <c r="D141" s="299" t="s">
        <v>325</v>
      </c>
      <c r="E141" s="301">
        <v>3450</v>
      </c>
    </row>
    <row r="142" spans="1:5">
      <c r="A142" s="300" t="s">
        <v>340</v>
      </c>
      <c r="B142" s="300" t="s">
        <v>338</v>
      </c>
      <c r="C142" s="299">
        <v>2021</v>
      </c>
      <c r="D142" s="299" t="s">
        <v>325</v>
      </c>
      <c r="E142" s="301">
        <v>3150</v>
      </c>
    </row>
    <row r="143" spans="1:5">
      <c r="A143" s="300" t="s">
        <v>337</v>
      </c>
      <c r="B143" s="300" t="s">
        <v>338</v>
      </c>
      <c r="C143" s="299">
        <v>2021</v>
      </c>
      <c r="D143" s="299" t="s">
        <v>326</v>
      </c>
      <c r="E143" s="299">
        <v>3600</v>
      </c>
    </row>
    <row r="144" spans="1:5">
      <c r="A144" s="300" t="s">
        <v>339</v>
      </c>
      <c r="B144" s="300" t="s">
        <v>338</v>
      </c>
      <c r="C144" s="299">
        <v>2021</v>
      </c>
      <c r="D144" s="299" t="s">
        <v>326</v>
      </c>
      <c r="E144" s="301">
        <v>3250</v>
      </c>
    </row>
    <row r="145" spans="1:5">
      <c r="A145" s="300" t="s">
        <v>340</v>
      </c>
      <c r="B145" s="300" t="s">
        <v>338</v>
      </c>
      <c r="C145" s="299">
        <v>2021</v>
      </c>
      <c r="D145" s="299" t="s">
        <v>326</v>
      </c>
      <c r="E145" s="301">
        <v>2950</v>
      </c>
    </row>
    <row r="146" spans="1:5">
      <c r="A146" s="300" t="s">
        <v>337</v>
      </c>
      <c r="B146" s="300" t="s">
        <v>338</v>
      </c>
      <c r="C146" s="299">
        <v>2022</v>
      </c>
      <c r="D146" s="299" t="s">
        <v>315</v>
      </c>
      <c r="E146" s="299">
        <v>3750</v>
      </c>
    </row>
    <row r="147" spans="1:5">
      <c r="A147" s="300" t="s">
        <v>339</v>
      </c>
      <c r="B147" s="300" t="s">
        <v>338</v>
      </c>
      <c r="C147" s="299">
        <v>2022</v>
      </c>
      <c r="D147" s="299" t="s">
        <v>315</v>
      </c>
      <c r="E147" s="301">
        <v>3300</v>
      </c>
    </row>
    <row r="148" spans="1:5">
      <c r="A148" s="300" t="s">
        <v>340</v>
      </c>
      <c r="B148" s="300" t="s">
        <v>338</v>
      </c>
      <c r="C148" s="299">
        <v>2022</v>
      </c>
      <c r="D148" s="299" t="s">
        <v>315</v>
      </c>
      <c r="E148" s="301">
        <v>3000</v>
      </c>
    </row>
    <row r="149" spans="1:5">
      <c r="A149" s="300" t="s">
        <v>337</v>
      </c>
      <c r="B149" s="300" t="s">
        <v>338</v>
      </c>
      <c r="C149" s="299">
        <v>2022</v>
      </c>
      <c r="D149" s="299" t="s">
        <v>316</v>
      </c>
      <c r="E149" s="299">
        <v>3700</v>
      </c>
    </row>
    <row r="150" spans="1:5">
      <c r="A150" s="300" t="s">
        <v>339</v>
      </c>
      <c r="B150" s="300" t="s">
        <v>338</v>
      </c>
      <c r="C150" s="299">
        <v>2022</v>
      </c>
      <c r="D150" s="299" t="s">
        <v>316</v>
      </c>
      <c r="E150" s="301">
        <v>3350</v>
      </c>
    </row>
    <row r="151" spans="1:5">
      <c r="A151" s="300" t="s">
        <v>340</v>
      </c>
      <c r="B151" s="300" t="s">
        <v>338</v>
      </c>
      <c r="C151" s="299">
        <v>2022</v>
      </c>
      <c r="D151" s="299" t="s">
        <v>316</v>
      </c>
      <c r="E151" s="301">
        <v>3050</v>
      </c>
    </row>
    <row r="152" spans="1:5">
      <c r="A152" s="300" t="s">
        <v>337</v>
      </c>
      <c r="B152" s="300" t="s">
        <v>338</v>
      </c>
      <c r="C152" s="299">
        <v>2022</v>
      </c>
      <c r="D152" s="299" t="s">
        <v>317</v>
      </c>
      <c r="E152" s="299">
        <v>3350</v>
      </c>
    </row>
    <row r="153" spans="1:5">
      <c r="A153" s="300" t="s">
        <v>339</v>
      </c>
      <c r="B153" s="300" t="s">
        <v>338</v>
      </c>
      <c r="C153" s="299">
        <v>2022</v>
      </c>
      <c r="D153" s="299" t="s">
        <v>317</v>
      </c>
      <c r="E153" s="301">
        <v>3000</v>
      </c>
    </row>
    <row r="154" spans="1:5">
      <c r="A154" s="300" t="s">
        <v>340</v>
      </c>
      <c r="B154" s="300" t="s">
        <v>338</v>
      </c>
      <c r="C154" s="299">
        <v>2022</v>
      </c>
      <c r="D154" s="299" t="s">
        <v>317</v>
      </c>
      <c r="E154" s="301">
        <v>2825</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E7286D-EFE8-4E8E-8996-10A5BA257D2E}">
  <dimension ref="A1:Z79"/>
  <sheetViews>
    <sheetView topLeftCell="M1" workbookViewId="0">
      <selection activeCell="AC56" sqref="AC56"/>
    </sheetView>
  </sheetViews>
  <sheetFormatPr defaultRowHeight="15"/>
  <cols>
    <col min="1" max="1" width="11.5703125" style="205" customWidth="1"/>
    <col min="2" max="2" width="8.28515625" style="205" bestFit="1" customWidth="1"/>
    <col min="3" max="3" width="18.28515625" style="205" bestFit="1" customWidth="1"/>
    <col min="4" max="4" width="20.42578125" style="205" bestFit="1" customWidth="1"/>
    <col min="5" max="5" width="20.7109375" style="205" customWidth="1"/>
    <col min="6" max="16384" width="9.140625" style="205"/>
  </cols>
  <sheetData>
    <row r="1" spans="1:26" ht="15.75" thickBot="1">
      <c r="A1" s="313" t="s">
        <v>313</v>
      </c>
      <c r="B1" s="313" t="s">
        <v>314</v>
      </c>
      <c r="C1" s="314" t="s">
        <v>327</v>
      </c>
      <c r="D1" s="313" t="s">
        <v>328</v>
      </c>
      <c r="E1" s="313" t="s">
        <v>329</v>
      </c>
      <c r="G1" s="317" t="s">
        <v>367</v>
      </c>
      <c r="H1" s="317" t="s">
        <v>368</v>
      </c>
      <c r="I1" s="317" t="s">
        <v>369</v>
      </c>
      <c r="O1" s="259" t="s">
        <v>297</v>
      </c>
      <c r="P1" s="259" t="s">
        <v>298</v>
      </c>
      <c r="Q1" s="259" t="s">
        <v>299</v>
      </c>
      <c r="V1" s="259" t="s">
        <v>297</v>
      </c>
      <c r="W1" s="259" t="s">
        <v>298</v>
      </c>
      <c r="X1" s="259" t="s">
        <v>299</v>
      </c>
    </row>
    <row r="2" spans="1:26" ht="15.75" thickBot="1">
      <c r="A2" s="315"/>
      <c r="B2" s="315"/>
      <c r="C2" s="408" t="s">
        <v>330</v>
      </c>
      <c r="D2" s="408"/>
      <c r="E2" s="408"/>
      <c r="G2" s="283">
        <v>0.7</v>
      </c>
      <c r="H2" s="283">
        <v>0.56000000000000005</v>
      </c>
      <c r="I2" s="283">
        <v>0.5</v>
      </c>
      <c r="K2" s="205" t="s">
        <v>370</v>
      </c>
      <c r="L2" s="205" t="s">
        <v>371</v>
      </c>
      <c r="O2" s="260">
        <v>0.73099999999999998</v>
      </c>
      <c r="P2" s="260">
        <v>0.1484</v>
      </c>
      <c r="Q2" s="260">
        <v>0.19400000000000001</v>
      </c>
      <c r="V2" s="260">
        <v>0.79</v>
      </c>
      <c r="W2" s="260">
        <v>0.11</v>
      </c>
      <c r="X2" s="260">
        <v>0.17</v>
      </c>
    </row>
    <row r="3" spans="1:26">
      <c r="A3" s="297">
        <v>2016</v>
      </c>
      <c r="B3" s="297" t="s">
        <v>315</v>
      </c>
      <c r="C3" s="298">
        <v>743.81887110362254</v>
      </c>
      <c r="D3" s="298">
        <v>1032.5317965762392</v>
      </c>
      <c r="E3" s="298">
        <v>594.10247543635592</v>
      </c>
      <c r="G3" s="205">
        <f>C3*G$2</f>
        <v>520.67320977253576</v>
      </c>
      <c r="H3" s="205">
        <f t="shared" ref="H3:I3" si="0">D3*H$2</f>
        <v>578.21780608269398</v>
      </c>
      <c r="I3" s="205">
        <f t="shared" si="0"/>
        <v>297.05123771817796</v>
      </c>
      <c r="J3" s="205">
        <f>SUM(G3:I3)</f>
        <v>1395.9422535734079</v>
      </c>
      <c r="K3" s="205">
        <f>J3/0.8</f>
        <v>1744.9278169667598</v>
      </c>
    </row>
    <row r="4" spans="1:26">
      <c r="A4" s="297">
        <v>2016</v>
      </c>
      <c r="B4" s="297" t="s">
        <v>316</v>
      </c>
      <c r="C4" s="298">
        <v>860.07502702702698</v>
      </c>
      <c r="D4" s="298">
        <v>1118.7220132545226</v>
      </c>
      <c r="E4" s="298">
        <v>577.73623439392975</v>
      </c>
      <c r="G4" s="205">
        <f t="shared" ref="G4:G18" si="1">C4*G$2</f>
        <v>602.05251891891885</v>
      </c>
      <c r="H4" s="205">
        <f t="shared" ref="H4:H18" si="2">D4*H$2</f>
        <v>626.48432742253271</v>
      </c>
      <c r="I4" s="205">
        <f t="shared" ref="I4:I18" si="3">E4*I$2</f>
        <v>288.86811719696487</v>
      </c>
      <c r="J4" s="205">
        <f>SUM(G4:I4)</f>
        <v>1517.4049635384165</v>
      </c>
      <c r="K4" s="205">
        <f t="shared" ref="K4:K18" si="4">J4/0.8</f>
        <v>1896.7562044230206</v>
      </c>
    </row>
    <row r="5" spans="1:26">
      <c r="A5" s="297">
        <v>2016</v>
      </c>
      <c r="B5" s="297" t="s">
        <v>317</v>
      </c>
      <c r="C5" s="298">
        <v>870.07134548274519</v>
      </c>
      <c r="D5" s="298">
        <v>1057.035811338015</v>
      </c>
      <c r="E5" s="298">
        <v>591.08337902337541</v>
      </c>
      <c r="G5" s="205">
        <f t="shared" si="1"/>
        <v>609.04994183792155</v>
      </c>
      <c r="H5" s="205">
        <f t="shared" si="2"/>
        <v>591.94005434928852</v>
      </c>
      <c r="I5" s="205">
        <f t="shared" si="3"/>
        <v>295.54168951168771</v>
      </c>
      <c r="J5" s="205">
        <f t="shared" ref="J5:J18" si="5">SUM(G5:I5)</f>
        <v>1496.5316856988979</v>
      </c>
      <c r="K5" s="205">
        <f t="shared" si="4"/>
        <v>1870.6646071236223</v>
      </c>
      <c r="L5" s="205" t="s">
        <v>371</v>
      </c>
      <c r="R5" s="205" t="s">
        <v>372</v>
      </c>
      <c r="S5" s="205" t="s">
        <v>373</v>
      </c>
      <c r="Y5" s="205" t="s">
        <v>374</v>
      </c>
      <c r="Z5" s="205" t="s">
        <v>375</v>
      </c>
    </row>
    <row r="6" spans="1:26">
      <c r="A6" s="297">
        <v>2016</v>
      </c>
      <c r="B6" s="297" t="s">
        <v>318</v>
      </c>
      <c r="C6" s="298">
        <v>913.0544041450778</v>
      </c>
      <c r="D6" s="298">
        <v>1027.0194552529183</v>
      </c>
      <c r="E6" s="298">
        <v>600.45207686054243</v>
      </c>
      <c r="G6" s="205">
        <f t="shared" si="1"/>
        <v>639.13808290155441</v>
      </c>
      <c r="H6" s="205">
        <f t="shared" si="2"/>
        <v>575.13089494163432</v>
      </c>
      <c r="I6" s="205">
        <f t="shared" si="3"/>
        <v>300.22603843027122</v>
      </c>
      <c r="J6" s="205">
        <f t="shared" si="5"/>
        <v>1514.4950162734599</v>
      </c>
      <c r="K6" s="205">
        <f t="shared" si="4"/>
        <v>1893.1187703418248</v>
      </c>
      <c r="L6" s="205">
        <v>2671</v>
      </c>
      <c r="M6" s="297">
        <v>2016</v>
      </c>
      <c r="N6" s="297" t="s">
        <v>318</v>
      </c>
      <c r="O6" s="205">
        <f>K6*$O$2</f>
        <v>1383.8698211198739</v>
      </c>
      <c r="P6" s="205">
        <f>C6*P$2</f>
        <v>135.49727357512955</v>
      </c>
      <c r="Q6" s="205">
        <f>E6*Q$2</f>
        <v>116.48770291094523</v>
      </c>
      <c r="R6" s="205">
        <f>SUM(O6:Q6)</f>
        <v>1635.8547976059488</v>
      </c>
      <c r="S6" s="318">
        <f>R6+R6*51%</f>
        <v>2470.1407443849826</v>
      </c>
      <c r="T6" s="297">
        <v>2016</v>
      </c>
      <c r="U6" s="297" t="s">
        <v>318</v>
      </c>
      <c r="V6" s="205">
        <f t="shared" ref="V6:V37" si="6">V$2*K6</f>
        <v>1495.5638285700416</v>
      </c>
      <c r="W6" s="205">
        <f>$W$2*C6</f>
        <v>100.43598445595856</v>
      </c>
      <c r="X6" s="205">
        <f>$X$2*E6</f>
        <v>102.07685306629222</v>
      </c>
      <c r="Y6" s="205">
        <f>SUM(V6:X6)</f>
        <v>1698.0766660922923</v>
      </c>
      <c r="Z6" s="319">
        <f>Y6+Y6*50.05%</f>
        <v>2547.9640374714845</v>
      </c>
    </row>
    <row r="7" spans="1:26">
      <c r="A7" s="297">
        <v>2016</v>
      </c>
      <c r="B7" s="297" t="s">
        <v>319</v>
      </c>
      <c r="C7" s="298">
        <v>987.00772489409417</v>
      </c>
      <c r="D7" s="298">
        <v>1013.581225668394</v>
      </c>
      <c r="E7" s="298">
        <v>614.11296000000004</v>
      </c>
      <c r="G7" s="205">
        <f t="shared" si="1"/>
        <v>690.90540742586586</v>
      </c>
      <c r="H7" s="205">
        <f t="shared" si="2"/>
        <v>567.60548637430077</v>
      </c>
      <c r="I7" s="205">
        <f t="shared" si="3"/>
        <v>307.05648000000002</v>
      </c>
      <c r="J7" s="205">
        <f t="shared" si="5"/>
        <v>1565.5673738001667</v>
      </c>
      <c r="K7" s="205">
        <f t="shared" si="4"/>
        <v>1956.9592172502082</v>
      </c>
      <c r="L7" s="205">
        <v>2765</v>
      </c>
      <c r="M7" s="297">
        <v>2016</v>
      </c>
      <c r="N7" s="297" t="s">
        <v>319</v>
      </c>
      <c r="O7" s="205">
        <f t="shared" ref="O7:O65" si="7">K7*$O$2</f>
        <v>1430.5371878099022</v>
      </c>
      <c r="P7" s="205">
        <f t="shared" ref="P7:P65" si="8">C7*P$2</f>
        <v>146.47194637428359</v>
      </c>
      <c r="Q7" s="205">
        <f t="shared" ref="Q7:Q65" si="9">E7*Q$2</f>
        <v>119.13791424000001</v>
      </c>
      <c r="R7" s="205">
        <f t="shared" ref="R7:R65" si="10">SUM(O7:Q7)</f>
        <v>1696.1470484241859</v>
      </c>
      <c r="S7" s="318">
        <f t="shared" ref="S7:S17" si="11">R7+R7*51%</f>
        <v>2561.1820431205206</v>
      </c>
      <c r="T7" s="297">
        <v>2016</v>
      </c>
      <c r="U7" s="297" t="s">
        <v>319</v>
      </c>
      <c r="V7" s="205">
        <f t="shared" si="6"/>
        <v>1545.9977816276646</v>
      </c>
      <c r="W7" s="205">
        <f t="shared" ref="W7:W65" si="12">$W$2*C7</f>
        <v>108.57084973835036</v>
      </c>
      <c r="X7" s="205">
        <f t="shared" ref="X7:X65" si="13">$X$2*E7</f>
        <v>104.39920320000002</v>
      </c>
      <c r="Y7" s="205">
        <f t="shared" ref="Y7:Y65" si="14">SUM(V7:X7)</f>
        <v>1758.967834566015</v>
      </c>
      <c r="Z7" s="319">
        <f t="shared" ref="Z7:Z17" si="15">Y7+Y7*50.05%</f>
        <v>2639.3312357663053</v>
      </c>
    </row>
    <row r="8" spans="1:26">
      <c r="A8" s="297">
        <v>2016</v>
      </c>
      <c r="B8" s="297" t="s">
        <v>320</v>
      </c>
      <c r="C8" s="298">
        <v>1117.52457727094</v>
      </c>
      <c r="D8" s="298">
        <v>1024.5950137867649</v>
      </c>
      <c r="E8" s="298">
        <v>601.15355745239651</v>
      </c>
      <c r="G8" s="205">
        <f t="shared" si="1"/>
        <v>782.26720408965798</v>
      </c>
      <c r="H8" s="205">
        <f t="shared" si="2"/>
        <v>573.7732077205884</v>
      </c>
      <c r="I8" s="205">
        <f t="shared" si="3"/>
        <v>300.57677872619826</v>
      </c>
      <c r="J8" s="205">
        <f t="shared" si="5"/>
        <v>1656.6171905364447</v>
      </c>
      <c r="K8" s="205">
        <f t="shared" si="4"/>
        <v>2070.7714881705556</v>
      </c>
      <c r="L8" s="205">
        <v>2956</v>
      </c>
      <c r="M8" s="297">
        <v>2016</v>
      </c>
      <c r="N8" s="297" t="s">
        <v>320</v>
      </c>
      <c r="O8" s="205">
        <f t="shared" si="7"/>
        <v>1513.733957852676</v>
      </c>
      <c r="P8" s="205">
        <f t="shared" si="8"/>
        <v>165.84064726700748</v>
      </c>
      <c r="Q8" s="205">
        <f t="shared" si="9"/>
        <v>116.62379014576493</v>
      </c>
      <c r="R8" s="205">
        <f t="shared" si="10"/>
        <v>1796.1983952654482</v>
      </c>
      <c r="S8" s="318">
        <f t="shared" si="11"/>
        <v>2712.2595768508268</v>
      </c>
      <c r="T8" s="297">
        <v>2016</v>
      </c>
      <c r="U8" s="297" t="s">
        <v>320</v>
      </c>
      <c r="V8" s="205">
        <f t="shared" si="6"/>
        <v>1635.909475654739</v>
      </c>
      <c r="W8" s="205">
        <f t="shared" si="12"/>
        <v>122.9277034998034</v>
      </c>
      <c r="X8" s="205">
        <f t="shared" si="13"/>
        <v>102.19610476690741</v>
      </c>
      <c r="Y8" s="205">
        <f t="shared" si="14"/>
        <v>1861.0332839214498</v>
      </c>
      <c r="Z8" s="319">
        <f t="shared" si="15"/>
        <v>2792.4804425241355</v>
      </c>
    </row>
    <row r="9" spans="1:26">
      <c r="A9" s="297">
        <v>2016</v>
      </c>
      <c r="B9" s="297" t="s">
        <v>321</v>
      </c>
      <c r="C9" s="298">
        <v>1215.7526041666667</v>
      </c>
      <c r="D9" s="298">
        <v>1011.6024847051759</v>
      </c>
      <c r="E9" s="298">
        <v>616.2107041105354</v>
      </c>
      <c r="G9" s="205">
        <f t="shared" si="1"/>
        <v>851.02682291666667</v>
      </c>
      <c r="H9" s="205">
        <f t="shared" si="2"/>
        <v>566.49739143489853</v>
      </c>
      <c r="I9" s="205">
        <f t="shared" si="3"/>
        <v>308.1053520552677</v>
      </c>
      <c r="J9" s="205">
        <f t="shared" si="5"/>
        <v>1725.629566406833</v>
      </c>
      <c r="K9" s="205">
        <f t="shared" si="4"/>
        <v>2157.0369580085412</v>
      </c>
      <c r="L9" s="205">
        <v>3055</v>
      </c>
      <c r="M9" s="297">
        <v>2016</v>
      </c>
      <c r="N9" s="297" t="s">
        <v>321</v>
      </c>
      <c r="O9" s="205">
        <f t="shared" si="7"/>
        <v>1576.7940163042435</v>
      </c>
      <c r="P9" s="205">
        <f t="shared" si="8"/>
        <v>180.41768645833335</v>
      </c>
      <c r="Q9" s="205">
        <f t="shared" si="9"/>
        <v>119.54487659744387</v>
      </c>
      <c r="R9" s="205">
        <f t="shared" si="10"/>
        <v>1876.7565793600206</v>
      </c>
      <c r="S9" s="318">
        <f t="shared" si="11"/>
        <v>2833.9024348336311</v>
      </c>
      <c r="T9" s="297">
        <v>2016</v>
      </c>
      <c r="U9" s="297" t="s">
        <v>321</v>
      </c>
      <c r="V9" s="205">
        <f t="shared" si="6"/>
        <v>1704.0591968267477</v>
      </c>
      <c r="W9" s="205">
        <f t="shared" si="12"/>
        <v>133.73278645833335</v>
      </c>
      <c r="X9" s="205">
        <f t="shared" si="13"/>
        <v>104.75581969879103</v>
      </c>
      <c r="Y9" s="205">
        <f t="shared" si="14"/>
        <v>1942.5478029838721</v>
      </c>
      <c r="Z9" s="319">
        <f t="shared" si="15"/>
        <v>2914.7929783772997</v>
      </c>
    </row>
    <row r="10" spans="1:26">
      <c r="A10" s="297">
        <v>2016</v>
      </c>
      <c r="B10" s="297" t="s">
        <v>322</v>
      </c>
      <c r="C10" s="298">
        <v>1167.677658142665</v>
      </c>
      <c r="D10" s="298">
        <v>993.44937284130162</v>
      </c>
      <c r="E10" s="298">
        <v>571.23</v>
      </c>
      <c r="G10" s="205">
        <f t="shared" si="1"/>
        <v>817.37436069986541</v>
      </c>
      <c r="H10" s="205">
        <f t="shared" si="2"/>
        <v>556.33164879112894</v>
      </c>
      <c r="I10" s="205">
        <f t="shared" si="3"/>
        <v>285.61500000000001</v>
      </c>
      <c r="J10" s="205">
        <f t="shared" si="5"/>
        <v>1659.3210094909944</v>
      </c>
      <c r="K10" s="205">
        <f t="shared" si="4"/>
        <v>2074.151261863743</v>
      </c>
      <c r="L10" s="205">
        <v>2956</v>
      </c>
      <c r="M10" s="297">
        <v>2016</v>
      </c>
      <c r="N10" s="297" t="s">
        <v>322</v>
      </c>
      <c r="O10" s="205">
        <f t="shared" si="7"/>
        <v>1516.204572422396</v>
      </c>
      <c r="P10" s="205">
        <f t="shared" si="8"/>
        <v>173.2833644683715</v>
      </c>
      <c r="Q10" s="205">
        <f t="shared" si="9"/>
        <v>110.81862000000001</v>
      </c>
      <c r="R10" s="205">
        <f t="shared" si="10"/>
        <v>1800.3065568907675</v>
      </c>
      <c r="S10" s="318">
        <f t="shared" si="11"/>
        <v>2718.4629009050591</v>
      </c>
      <c r="T10" s="297">
        <v>2016</v>
      </c>
      <c r="U10" s="297" t="s">
        <v>322</v>
      </c>
      <c r="V10" s="205">
        <f t="shared" si="6"/>
        <v>1638.5794968723571</v>
      </c>
      <c r="W10" s="205">
        <f t="shared" si="12"/>
        <v>128.44454239569316</v>
      </c>
      <c r="X10" s="205">
        <f t="shared" si="13"/>
        <v>97.109100000000012</v>
      </c>
      <c r="Y10" s="205">
        <f t="shared" si="14"/>
        <v>1864.1331392680504</v>
      </c>
      <c r="Z10" s="319">
        <f t="shared" si="15"/>
        <v>2797.1317754717093</v>
      </c>
    </row>
    <row r="11" spans="1:26">
      <c r="A11" s="297">
        <v>2016</v>
      </c>
      <c r="B11" s="297" t="s">
        <v>323</v>
      </c>
      <c r="C11" s="298">
        <v>1203.1596346131887</v>
      </c>
      <c r="D11" s="298">
        <v>1140.442794279428</v>
      </c>
      <c r="E11" s="298">
        <v>548.34</v>
      </c>
      <c r="G11" s="205">
        <f t="shared" si="1"/>
        <v>842.21174422923207</v>
      </c>
      <c r="H11" s="205">
        <f t="shared" si="2"/>
        <v>638.64796479647976</v>
      </c>
      <c r="I11" s="205">
        <f t="shared" si="3"/>
        <v>274.17</v>
      </c>
      <c r="J11" s="205">
        <f t="shared" si="5"/>
        <v>1755.0297090257118</v>
      </c>
      <c r="K11" s="205">
        <f t="shared" si="4"/>
        <v>2193.7871362821397</v>
      </c>
      <c r="L11" s="205">
        <v>3093</v>
      </c>
      <c r="M11" s="297">
        <v>2016</v>
      </c>
      <c r="N11" s="297" t="s">
        <v>323</v>
      </c>
      <c r="O11" s="205">
        <f t="shared" si="7"/>
        <v>1603.658396622244</v>
      </c>
      <c r="P11" s="205">
        <f t="shared" si="8"/>
        <v>178.54888977659721</v>
      </c>
      <c r="Q11" s="205">
        <f t="shared" si="9"/>
        <v>106.37796000000002</v>
      </c>
      <c r="R11" s="205">
        <f t="shared" si="10"/>
        <v>1888.5852463988413</v>
      </c>
      <c r="S11" s="318">
        <f t="shared" si="11"/>
        <v>2851.7637220622501</v>
      </c>
      <c r="T11" s="297">
        <v>2016</v>
      </c>
      <c r="U11" s="297" t="s">
        <v>323</v>
      </c>
      <c r="V11" s="205">
        <f t="shared" si="6"/>
        <v>1733.0918376628904</v>
      </c>
      <c r="W11" s="205">
        <f t="shared" si="12"/>
        <v>132.34755980745075</v>
      </c>
      <c r="X11" s="205">
        <f t="shared" si="13"/>
        <v>93.217800000000011</v>
      </c>
      <c r="Y11" s="205">
        <f t="shared" si="14"/>
        <v>1958.6571974703411</v>
      </c>
      <c r="Z11" s="319">
        <f t="shared" si="15"/>
        <v>2938.9651248042464</v>
      </c>
    </row>
    <row r="12" spans="1:26">
      <c r="A12" s="297">
        <v>2016</v>
      </c>
      <c r="B12" s="297" t="s">
        <v>324</v>
      </c>
      <c r="C12" s="298">
        <v>1185.1100047415837</v>
      </c>
      <c r="D12" s="298">
        <v>957.26522222596623</v>
      </c>
      <c r="E12" s="298">
        <v>526</v>
      </c>
      <c r="G12" s="205">
        <f t="shared" si="1"/>
        <v>829.57700331910848</v>
      </c>
      <c r="H12" s="205">
        <f t="shared" si="2"/>
        <v>536.06852444654112</v>
      </c>
      <c r="I12" s="205">
        <f t="shared" si="3"/>
        <v>263</v>
      </c>
      <c r="J12" s="205">
        <f t="shared" si="5"/>
        <v>1628.6455277656496</v>
      </c>
      <c r="K12" s="205">
        <f t="shared" si="4"/>
        <v>2035.806909707062</v>
      </c>
      <c r="L12" s="205">
        <v>2897</v>
      </c>
      <c r="M12" s="297">
        <v>2016</v>
      </c>
      <c r="N12" s="297" t="s">
        <v>324</v>
      </c>
      <c r="O12" s="205">
        <f t="shared" si="7"/>
        <v>1488.1748509958622</v>
      </c>
      <c r="P12" s="205">
        <f t="shared" si="8"/>
        <v>175.87032470365102</v>
      </c>
      <c r="Q12" s="205">
        <f t="shared" si="9"/>
        <v>102.044</v>
      </c>
      <c r="R12" s="205">
        <f t="shared" si="10"/>
        <v>1766.0891756995134</v>
      </c>
      <c r="S12" s="318">
        <f t="shared" si="11"/>
        <v>2666.7946553062652</v>
      </c>
      <c r="T12" s="297">
        <v>2016</v>
      </c>
      <c r="U12" s="297" t="s">
        <v>324</v>
      </c>
      <c r="V12" s="205">
        <f t="shared" si="6"/>
        <v>1608.2874586685791</v>
      </c>
      <c r="W12" s="205">
        <f t="shared" si="12"/>
        <v>130.36210052157421</v>
      </c>
      <c r="X12" s="205">
        <f t="shared" si="13"/>
        <v>89.42</v>
      </c>
      <c r="Y12" s="205">
        <f t="shared" si="14"/>
        <v>1828.0695591901533</v>
      </c>
      <c r="Z12" s="319">
        <f t="shared" si="15"/>
        <v>2743.0183735648252</v>
      </c>
    </row>
    <row r="13" spans="1:26">
      <c r="A13" s="297">
        <v>2016</v>
      </c>
      <c r="B13" s="297" t="s">
        <v>325</v>
      </c>
      <c r="C13" s="298">
        <v>1088.4660654959659</v>
      </c>
      <c r="D13" s="298">
        <v>966.31766005475242</v>
      </c>
      <c r="E13" s="298">
        <v>503.24</v>
      </c>
      <c r="G13" s="205">
        <f t="shared" si="1"/>
        <v>761.92624584717612</v>
      </c>
      <c r="H13" s="205">
        <f t="shared" si="2"/>
        <v>541.13788963066145</v>
      </c>
      <c r="I13" s="205">
        <f t="shared" si="3"/>
        <v>251.62</v>
      </c>
      <c r="J13" s="205">
        <f t="shared" si="5"/>
        <v>1554.6841354778376</v>
      </c>
      <c r="K13" s="205">
        <f t="shared" si="4"/>
        <v>1943.3551693472969</v>
      </c>
      <c r="L13" s="205">
        <v>2740</v>
      </c>
      <c r="M13" s="297">
        <v>2016</v>
      </c>
      <c r="N13" s="297" t="s">
        <v>325</v>
      </c>
      <c r="O13" s="205">
        <f t="shared" si="7"/>
        <v>1420.5926287928739</v>
      </c>
      <c r="P13" s="205">
        <f t="shared" si="8"/>
        <v>161.52836411960135</v>
      </c>
      <c r="Q13" s="205">
        <f t="shared" si="9"/>
        <v>97.628560000000007</v>
      </c>
      <c r="R13" s="205">
        <f t="shared" si="10"/>
        <v>1679.7495529124753</v>
      </c>
      <c r="S13" s="318">
        <f t="shared" si="11"/>
        <v>2536.4218248978377</v>
      </c>
      <c r="T13" s="297">
        <v>2016</v>
      </c>
      <c r="U13" s="297" t="s">
        <v>325</v>
      </c>
      <c r="V13" s="205">
        <f t="shared" si="6"/>
        <v>1535.2505837843646</v>
      </c>
      <c r="W13" s="205">
        <f t="shared" si="12"/>
        <v>119.73126720455626</v>
      </c>
      <c r="X13" s="205">
        <f t="shared" si="13"/>
        <v>85.55080000000001</v>
      </c>
      <c r="Y13" s="205">
        <f t="shared" si="14"/>
        <v>1740.5326509889208</v>
      </c>
      <c r="Z13" s="319">
        <f t="shared" si="15"/>
        <v>2611.6692428088754</v>
      </c>
    </row>
    <row r="14" spans="1:26">
      <c r="A14" s="297">
        <v>2016</v>
      </c>
      <c r="B14" s="297" t="s">
        <v>326</v>
      </c>
      <c r="C14" s="298">
        <v>1027.2162321113508</v>
      </c>
      <c r="D14" s="298">
        <v>1038.0427728613568</v>
      </c>
      <c r="E14" s="298">
        <v>480.35</v>
      </c>
      <c r="G14" s="205">
        <f t="shared" si="1"/>
        <v>719.05136247794553</v>
      </c>
      <c r="H14" s="205">
        <f t="shared" si="2"/>
        <v>581.30395280235985</v>
      </c>
      <c r="I14" s="205">
        <f t="shared" si="3"/>
        <v>240.17500000000001</v>
      </c>
      <c r="J14" s="205">
        <f t="shared" si="5"/>
        <v>1540.5303152803053</v>
      </c>
      <c r="K14" s="205">
        <f t="shared" si="4"/>
        <v>1925.6628941003817</v>
      </c>
      <c r="L14" s="205">
        <v>2715</v>
      </c>
      <c r="M14" s="297">
        <v>2016</v>
      </c>
      <c r="N14" s="297" t="s">
        <v>326</v>
      </c>
      <c r="O14" s="205">
        <f t="shared" si="7"/>
        <v>1407.6595755873789</v>
      </c>
      <c r="P14" s="205">
        <f t="shared" si="8"/>
        <v>152.43888884532447</v>
      </c>
      <c r="Q14" s="205">
        <f t="shared" si="9"/>
        <v>93.187900000000013</v>
      </c>
      <c r="R14" s="205">
        <f t="shared" si="10"/>
        <v>1653.2863644327035</v>
      </c>
      <c r="S14" s="318">
        <f t="shared" si="11"/>
        <v>2496.4624102933822</v>
      </c>
      <c r="T14" s="297">
        <v>2016</v>
      </c>
      <c r="U14" s="297" t="s">
        <v>326</v>
      </c>
      <c r="V14" s="205">
        <f t="shared" si="6"/>
        <v>1521.2736863393015</v>
      </c>
      <c r="W14" s="205">
        <f t="shared" si="12"/>
        <v>112.99378553224859</v>
      </c>
      <c r="X14" s="205">
        <f t="shared" si="13"/>
        <v>81.659500000000008</v>
      </c>
      <c r="Y14" s="205">
        <f t="shared" si="14"/>
        <v>1715.9269718715502</v>
      </c>
      <c r="Z14" s="319">
        <f t="shared" si="15"/>
        <v>2574.7484212932609</v>
      </c>
    </row>
    <row r="15" spans="1:26">
      <c r="A15" s="297">
        <v>2017</v>
      </c>
      <c r="B15" s="297" t="s">
        <v>315</v>
      </c>
      <c r="C15" s="298">
        <v>994.10555264536401</v>
      </c>
      <c r="D15" s="298">
        <v>1041.1454102355808</v>
      </c>
      <c r="E15" s="298">
        <v>435.82289012142104</v>
      </c>
      <c r="G15" s="205">
        <f t="shared" si="1"/>
        <v>695.87388685175472</v>
      </c>
      <c r="H15" s="205">
        <f t="shared" si="2"/>
        <v>583.04142973192529</v>
      </c>
      <c r="I15" s="205">
        <f t="shared" si="3"/>
        <v>217.91144506071052</v>
      </c>
      <c r="J15" s="205">
        <f t="shared" si="5"/>
        <v>1496.8267616443907</v>
      </c>
      <c r="K15" s="205">
        <f t="shared" si="4"/>
        <v>1871.0334520554882</v>
      </c>
      <c r="L15" s="205">
        <v>2638</v>
      </c>
      <c r="M15" s="297">
        <v>2017</v>
      </c>
      <c r="N15" s="297" t="s">
        <v>315</v>
      </c>
      <c r="O15" s="205">
        <f t="shared" si="7"/>
        <v>1367.7254534525619</v>
      </c>
      <c r="P15" s="205">
        <f t="shared" si="8"/>
        <v>147.52526401257202</v>
      </c>
      <c r="Q15" s="205">
        <f t="shared" si="9"/>
        <v>84.54964068355568</v>
      </c>
      <c r="R15" s="205">
        <f t="shared" si="10"/>
        <v>1599.8003581486896</v>
      </c>
      <c r="S15" s="318">
        <f t="shared" si="11"/>
        <v>2415.6985408045211</v>
      </c>
      <c r="T15" s="297">
        <v>2017</v>
      </c>
      <c r="U15" s="297" t="s">
        <v>315</v>
      </c>
      <c r="V15" s="205">
        <f t="shared" si="6"/>
        <v>1478.1164271238358</v>
      </c>
      <c r="W15" s="205">
        <f t="shared" si="12"/>
        <v>109.35161079099004</v>
      </c>
      <c r="X15" s="205">
        <f t="shared" si="13"/>
        <v>74.089891320641584</v>
      </c>
      <c r="Y15" s="205">
        <f t="shared" si="14"/>
        <v>1661.5579292354673</v>
      </c>
      <c r="Z15" s="319">
        <f t="shared" si="15"/>
        <v>2493.1676728178186</v>
      </c>
    </row>
    <row r="16" spans="1:26">
      <c r="A16" s="297">
        <v>2017</v>
      </c>
      <c r="B16" s="297" t="s">
        <v>316</v>
      </c>
      <c r="C16" s="298">
        <v>1468.4495247880811</v>
      </c>
      <c r="D16" s="298">
        <v>1075.6663503838524</v>
      </c>
      <c r="E16" s="298">
        <v>455.43201573504223</v>
      </c>
      <c r="G16" s="205">
        <f t="shared" si="1"/>
        <v>1027.9146673516568</v>
      </c>
      <c r="H16" s="205">
        <f t="shared" si="2"/>
        <v>602.37315621495748</v>
      </c>
      <c r="I16" s="205">
        <f t="shared" si="3"/>
        <v>227.71600786752111</v>
      </c>
      <c r="J16" s="205">
        <f t="shared" si="5"/>
        <v>1858.0038314341355</v>
      </c>
      <c r="K16" s="205">
        <f t="shared" si="4"/>
        <v>2322.5047892926691</v>
      </c>
      <c r="L16" s="205">
        <v>3275</v>
      </c>
      <c r="M16" s="297">
        <v>2017</v>
      </c>
      <c r="N16" s="297" t="s">
        <v>316</v>
      </c>
      <c r="O16" s="205">
        <f t="shared" si="7"/>
        <v>1697.751000972941</v>
      </c>
      <c r="P16" s="205">
        <f t="shared" si="8"/>
        <v>217.91790947855125</v>
      </c>
      <c r="Q16" s="205">
        <f t="shared" si="9"/>
        <v>88.353811052598189</v>
      </c>
      <c r="R16" s="205">
        <f t="shared" si="10"/>
        <v>2004.0227215040904</v>
      </c>
      <c r="S16" s="318">
        <f t="shared" si="11"/>
        <v>3026.0743094711765</v>
      </c>
      <c r="T16" s="297">
        <v>2017</v>
      </c>
      <c r="U16" s="297" t="s">
        <v>316</v>
      </c>
      <c r="V16" s="205">
        <f t="shared" si="6"/>
        <v>1834.7787835412087</v>
      </c>
      <c r="W16" s="205">
        <f t="shared" si="12"/>
        <v>161.52944772668891</v>
      </c>
      <c r="X16" s="205">
        <f t="shared" si="13"/>
        <v>77.423442674957187</v>
      </c>
      <c r="Y16" s="205">
        <f t="shared" si="14"/>
        <v>2073.7316739428547</v>
      </c>
      <c r="Z16" s="319">
        <f t="shared" si="15"/>
        <v>3111.6343767512535</v>
      </c>
    </row>
    <row r="17" spans="1:26">
      <c r="A17" s="297">
        <v>2017</v>
      </c>
      <c r="B17" s="297" t="s">
        <v>317</v>
      </c>
      <c r="C17" s="298">
        <v>1300.7059579939992</v>
      </c>
      <c r="D17" s="298">
        <v>1207.0910290237466</v>
      </c>
      <c r="E17" s="298">
        <v>495.03682701081999</v>
      </c>
      <c r="G17" s="205">
        <f t="shared" si="1"/>
        <v>910.49417059579935</v>
      </c>
      <c r="H17" s="205">
        <f t="shared" si="2"/>
        <v>675.9709762532982</v>
      </c>
      <c r="I17" s="205">
        <f t="shared" si="3"/>
        <v>247.51841350541</v>
      </c>
      <c r="J17" s="205">
        <f t="shared" si="5"/>
        <v>1833.9835603545075</v>
      </c>
      <c r="K17" s="205">
        <f t="shared" si="4"/>
        <v>2292.4794504431343</v>
      </c>
      <c r="L17" s="205">
        <v>3232</v>
      </c>
      <c r="M17" s="297">
        <v>2017</v>
      </c>
      <c r="N17" s="297" t="s">
        <v>317</v>
      </c>
      <c r="O17" s="205">
        <f t="shared" si="7"/>
        <v>1675.8024782739312</v>
      </c>
      <c r="P17" s="205">
        <f t="shared" si="8"/>
        <v>193.0247641663095</v>
      </c>
      <c r="Q17" s="205">
        <f t="shared" si="9"/>
        <v>96.037144440099084</v>
      </c>
      <c r="R17" s="205">
        <f t="shared" si="10"/>
        <v>1964.8643868803399</v>
      </c>
      <c r="S17" s="318">
        <f t="shared" si="11"/>
        <v>2966.9452241893132</v>
      </c>
      <c r="T17" s="297">
        <v>2017</v>
      </c>
      <c r="U17" s="297" t="s">
        <v>317</v>
      </c>
      <c r="V17" s="205">
        <f t="shared" si="6"/>
        <v>1811.0587658500763</v>
      </c>
      <c r="W17" s="205">
        <f t="shared" si="12"/>
        <v>143.07765537933992</v>
      </c>
      <c r="X17" s="205">
        <f t="shared" si="13"/>
        <v>84.156260591839398</v>
      </c>
      <c r="Y17" s="205">
        <f t="shared" si="14"/>
        <v>2038.2926818212554</v>
      </c>
      <c r="Z17" s="319">
        <f t="shared" si="15"/>
        <v>3058.4581690727937</v>
      </c>
    </row>
    <row r="18" spans="1:26">
      <c r="A18" s="297">
        <v>2017</v>
      </c>
      <c r="B18" s="297" t="s">
        <v>318</v>
      </c>
      <c r="C18" s="298">
        <v>1473.8604256922208</v>
      </c>
      <c r="D18" s="298">
        <v>1070.6653497351172</v>
      </c>
      <c r="E18" s="298">
        <v>502.64183623178207</v>
      </c>
      <c r="G18" s="205">
        <f t="shared" si="1"/>
        <v>1031.7022979845544</v>
      </c>
      <c r="H18" s="205">
        <f t="shared" si="2"/>
        <v>599.57259585166571</v>
      </c>
      <c r="I18" s="205">
        <f t="shared" si="3"/>
        <v>251.32091811589103</v>
      </c>
      <c r="J18" s="205">
        <f t="shared" si="5"/>
        <v>1882.5958119521113</v>
      </c>
      <c r="K18" s="205">
        <f t="shared" si="4"/>
        <v>2353.2447649401388</v>
      </c>
      <c r="L18" s="205">
        <f>K18+K18*27.5%</f>
        <v>3000.3870752986768</v>
      </c>
      <c r="M18" s="297">
        <v>2017</v>
      </c>
      <c r="N18" s="297" t="s">
        <v>318</v>
      </c>
      <c r="O18" s="205">
        <f t="shared" si="7"/>
        <v>1720.2219231712413</v>
      </c>
      <c r="P18" s="205">
        <f t="shared" si="8"/>
        <v>218.72088717272558</v>
      </c>
      <c r="Q18" s="205">
        <f t="shared" si="9"/>
        <v>97.512516228965723</v>
      </c>
      <c r="R18" s="205">
        <f t="shared" si="10"/>
        <v>2036.4553265729326</v>
      </c>
      <c r="S18" s="319">
        <f>R18+R18*37.4%</f>
        <v>2798.0896187112094</v>
      </c>
      <c r="T18" s="297">
        <v>2017</v>
      </c>
      <c r="U18" s="297" t="s">
        <v>318</v>
      </c>
      <c r="V18" s="205">
        <f t="shared" si="6"/>
        <v>1859.0633643027097</v>
      </c>
      <c r="W18" s="205">
        <f t="shared" si="12"/>
        <v>162.1246468261443</v>
      </c>
      <c r="X18" s="205">
        <f t="shared" si="13"/>
        <v>85.449112159402958</v>
      </c>
      <c r="Y18" s="205">
        <f t="shared" si="14"/>
        <v>2106.637123288257</v>
      </c>
      <c r="Z18" s="319">
        <f>Y18+Y18*36.5005%</f>
        <v>2875.5702064740872</v>
      </c>
    </row>
    <row r="19" spans="1:26">
      <c r="A19" s="297">
        <v>2017</v>
      </c>
      <c r="B19" s="297" t="s">
        <v>319</v>
      </c>
      <c r="C19" s="298">
        <v>1461.3684012066367</v>
      </c>
      <c r="D19" s="298">
        <v>1064.4138613861387</v>
      </c>
      <c r="E19" s="298">
        <v>517.42976090443813</v>
      </c>
      <c r="G19" s="205">
        <f t="shared" ref="G19:G29" si="16">C19*G$2</f>
        <v>1022.9578808446456</v>
      </c>
      <c r="H19" s="205">
        <f t="shared" ref="H19:H29" si="17">D19*H$2</f>
        <v>596.07176237623776</v>
      </c>
      <c r="I19" s="205">
        <f t="shared" ref="I19:I29" si="18">E19*I$2</f>
        <v>258.71488045221906</v>
      </c>
      <c r="J19" s="205">
        <f t="shared" ref="J19:J29" si="19">SUM(G19:I19)</f>
        <v>1877.7445236731023</v>
      </c>
      <c r="K19" s="205">
        <f t="shared" ref="K19:K29" si="20">J19/0.8</f>
        <v>2347.1806545913778</v>
      </c>
      <c r="L19" s="205">
        <f t="shared" ref="L19:L29" si="21">K19+K19*27.5%</f>
        <v>2992.6553346040068</v>
      </c>
      <c r="M19" s="297">
        <v>2017</v>
      </c>
      <c r="N19" s="297" t="s">
        <v>319</v>
      </c>
      <c r="O19" s="205">
        <f t="shared" si="7"/>
        <v>1715.7890585062971</v>
      </c>
      <c r="P19" s="205">
        <f t="shared" si="8"/>
        <v>216.8670707390649</v>
      </c>
      <c r="Q19" s="205">
        <f t="shared" si="9"/>
        <v>100.381373615461</v>
      </c>
      <c r="R19" s="205">
        <f t="shared" si="10"/>
        <v>2033.037502860823</v>
      </c>
      <c r="S19" s="319">
        <f t="shared" ref="S19:S29" si="22">R19+R19*37.4%</f>
        <v>2793.393528930771</v>
      </c>
      <c r="T19" s="297">
        <v>2017</v>
      </c>
      <c r="U19" s="297" t="s">
        <v>319</v>
      </c>
      <c r="V19" s="205">
        <f t="shared" si="6"/>
        <v>1854.2727171271886</v>
      </c>
      <c r="W19" s="205">
        <f t="shared" si="12"/>
        <v>160.75052413273005</v>
      </c>
      <c r="X19" s="205">
        <f t="shared" si="13"/>
        <v>87.963059353754488</v>
      </c>
      <c r="Y19" s="205">
        <f t="shared" si="14"/>
        <v>2102.9863006136729</v>
      </c>
      <c r="Z19" s="319">
        <f t="shared" ref="Z19:Z29" si="23">Y19+Y19*36.5005%</f>
        <v>2870.5868152691664</v>
      </c>
    </row>
    <row r="20" spans="1:26">
      <c r="A20" s="297">
        <v>2017</v>
      </c>
      <c r="B20" s="297" t="s">
        <v>320</v>
      </c>
      <c r="C20" s="298">
        <v>1248.4952330508474</v>
      </c>
      <c r="D20" s="298">
        <v>1078.1075861195541</v>
      </c>
      <c r="E20" s="298">
        <v>543.23092532467535</v>
      </c>
      <c r="G20" s="205">
        <f t="shared" si="16"/>
        <v>873.94666313559321</v>
      </c>
      <c r="H20" s="205">
        <f t="shared" si="17"/>
        <v>603.74024822695037</v>
      </c>
      <c r="I20" s="205">
        <f t="shared" si="18"/>
        <v>271.61546266233768</v>
      </c>
      <c r="J20" s="205">
        <f t="shared" si="19"/>
        <v>1749.3023740248811</v>
      </c>
      <c r="K20" s="205">
        <f t="shared" si="20"/>
        <v>2186.6279675311011</v>
      </c>
      <c r="L20" s="205">
        <f t="shared" si="21"/>
        <v>2787.9506586021539</v>
      </c>
      <c r="M20" s="297">
        <v>2017</v>
      </c>
      <c r="N20" s="297" t="s">
        <v>320</v>
      </c>
      <c r="O20" s="205">
        <f t="shared" si="7"/>
        <v>1598.4250442652349</v>
      </c>
      <c r="P20" s="205">
        <f t="shared" si="8"/>
        <v>185.27669258474577</v>
      </c>
      <c r="Q20" s="205">
        <f t="shared" si="9"/>
        <v>105.38679951298703</v>
      </c>
      <c r="R20" s="205">
        <f t="shared" si="10"/>
        <v>1889.0885363629675</v>
      </c>
      <c r="S20" s="319">
        <f t="shared" si="22"/>
        <v>2595.6076489627176</v>
      </c>
      <c r="T20" s="297">
        <v>2017</v>
      </c>
      <c r="U20" s="297" t="s">
        <v>320</v>
      </c>
      <c r="V20" s="205">
        <f t="shared" si="6"/>
        <v>1727.4360943495699</v>
      </c>
      <c r="W20" s="205">
        <f t="shared" si="12"/>
        <v>137.33447563559321</v>
      </c>
      <c r="X20" s="205">
        <f t="shared" si="13"/>
        <v>92.349257305194811</v>
      </c>
      <c r="Y20" s="205">
        <f t="shared" si="14"/>
        <v>1957.119827290358</v>
      </c>
      <c r="Z20" s="319">
        <f t="shared" si="23"/>
        <v>2671.4783498504753</v>
      </c>
    </row>
    <row r="21" spans="1:26">
      <c r="A21" s="297">
        <v>2017</v>
      </c>
      <c r="B21" s="297" t="s">
        <v>321</v>
      </c>
      <c r="C21" s="298">
        <v>1063.5023277467412</v>
      </c>
      <c r="D21" s="298">
        <v>1085.2192638997651</v>
      </c>
      <c r="E21" s="298">
        <v>537.38865959743475</v>
      </c>
      <c r="G21" s="205">
        <f t="shared" si="16"/>
        <v>744.45162942271884</v>
      </c>
      <c r="H21" s="205">
        <f t="shared" si="17"/>
        <v>607.72278778386851</v>
      </c>
      <c r="I21" s="205">
        <f t="shared" si="18"/>
        <v>268.69432979871738</v>
      </c>
      <c r="J21" s="205">
        <f t="shared" si="19"/>
        <v>1620.8687470053046</v>
      </c>
      <c r="K21" s="205">
        <f t="shared" si="20"/>
        <v>2026.0859337566308</v>
      </c>
      <c r="L21" s="205">
        <f t="shared" si="21"/>
        <v>2583.2595655397045</v>
      </c>
      <c r="M21" s="297">
        <v>2017</v>
      </c>
      <c r="N21" s="297" t="s">
        <v>321</v>
      </c>
      <c r="O21" s="205">
        <f t="shared" si="7"/>
        <v>1481.068817576097</v>
      </c>
      <c r="P21" s="205">
        <f t="shared" si="8"/>
        <v>157.8237454376164</v>
      </c>
      <c r="Q21" s="205">
        <f t="shared" si="9"/>
        <v>104.25339996190235</v>
      </c>
      <c r="R21" s="205">
        <f t="shared" si="10"/>
        <v>1743.1459629756159</v>
      </c>
      <c r="S21" s="319">
        <f t="shared" si="22"/>
        <v>2395.0825531284963</v>
      </c>
      <c r="T21" s="297">
        <v>2017</v>
      </c>
      <c r="U21" s="297" t="s">
        <v>321</v>
      </c>
      <c r="V21" s="205">
        <f t="shared" si="6"/>
        <v>1600.6078876677384</v>
      </c>
      <c r="W21" s="205">
        <f t="shared" si="12"/>
        <v>116.98525605214154</v>
      </c>
      <c r="X21" s="205">
        <f t="shared" si="13"/>
        <v>91.35607213156392</v>
      </c>
      <c r="Y21" s="205">
        <f t="shared" si="14"/>
        <v>1808.9492158514438</v>
      </c>
      <c r="Z21" s="319">
        <f t="shared" si="23"/>
        <v>2469.2247243832999</v>
      </c>
    </row>
    <row r="22" spans="1:26">
      <c r="A22" s="297">
        <v>2017</v>
      </c>
      <c r="B22" s="297" t="s">
        <v>322</v>
      </c>
      <c r="C22" s="298">
        <v>973.37102922490476</v>
      </c>
      <c r="D22" s="298">
        <v>1075.2119473066389</v>
      </c>
      <c r="E22" s="298">
        <v>536.49979760362703</v>
      </c>
      <c r="G22" s="205">
        <f t="shared" si="16"/>
        <v>681.35972045743324</v>
      </c>
      <c r="H22" s="205">
        <f t="shared" si="17"/>
        <v>602.11869049171787</v>
      </c>
      <c r="I22" s="205">
        <f t="shared" si="18"/>
        <v>268.24989880181352</v>
      </c>
      <c r="J22" s="205">
        <f t="shared" si="19"/>
        <v>1551.7283097509646</v>
      </c>
      <c r="K22" s="205">
        <f t="shared" si="20"/>
        <v>1939.6603871887057</v>
      </c>
      <c r="L22" s="205">
        <f t="shared" si="21"/>
        <v>2473.0669936656</v>
      </c>
      <c r="M22" s="297">
        <v>2017</v>
      </c>
      <c r="N22" s="297" t="s">
        <v>322</v>
      </c>
      <c r="O22" s="205">
        <f t="shared" si="7"/>
        <v>1417.8917430349438</v>
      </c>
      <c r="P22" s="205">
        <f t="shared" si="8"/>
        <v>144.44826073697587</v>
      </c>
      <c r="Q22" s="205">
        <f t="shared" si="9"/>
        <v>104.08096073510364</v>
      </c>
      <c r="R22" s="205">
        <f t="shared" si="10"/>
        <v>1666.4209645070234</v>
      </c>
      <c r="S22" s="319">
        <f t="shared" si="22"/>
        <v>2289.6624052326501</v>
      </c>
      <c r="T22" s="297">
        <v>2017</v>
      </c>
      <c r="U22" s="297" t="s">
        <v>322</v>
      </c>
      <c r="V22" s="205">
        <f t="shared" si="6"/>
        <v>1532.3317058790776</v>
      </c>
      <c r="W22" s="205">
        <f t="shared" si="12"/>
        <v>107.07081321473953</v>
      </c>
      <c r="X22" s="205">
        <f t="shared" si="13"/>
        <v>91.204965592616603</v>
      </c>
      <c r="Y22" s="205">
        <f t="shared" si="14"/>
        <v>1730.6074846864337</v>
      </c>
      <c r="Z22" s="319">
        <f t="shared" si="23"/>
        <v>2362.2878696344055</v>
      </c>
    </row>
    <row r="23" spans="1:26">
      <c r="A23" s="297">
        <v>2017</v>
      </c>
      <c r="B23" s="297" t="s">
        <v>323</v>
      </c>
      <c r="C23" s="298">
        <v>1081.2665112665111</v>
      </c>
      <c r="D23" s="298">
        <v>1077.3234599699506</v>
      </c>
      <c r="E23" s="298">
        <v>530.32455304387599</v>
      </c>
      <c r="G23" s="205">
        <f t="shared" si="16"/>
        <v>756.88655788655774</v>
      </c>
      <c r="H23" s="205">
        <f t="shared" si="17"/>
        <v>603.30113758317236</v>
      </c>
      <c r="I23" s="205">
        <f t="shared" si="18"/>
        <v>265.162276521938</v>
      </c>
      <c r="J23" s="205">
        <f t="shared" si="19"/>
        <v>1625.3499719916681</v>
      </c>
      <c r="K23" s="205">
        <f t="shared" si="20"/>
        <v>2031.6874649895851</v>
      </c>
      <c r="L23" s="205">
        <f t="shared" si="21"/>
        <v>2590.401517861721</v>
      </c>
      <c r="M23" s="297">
        <v>2017</v>
      </c>
      <c r="N23" s="297" t="s">
        <v>323</v>
      </c>
      <c r="O23" s="205">
        <f t="shared" si="7"/>
        <v>1485.1635369073867</v>
      </c>
      <c r="P23" s="205">
        <f t="shared" si="8"/>
        <v>160.45995027195025</v>
      </c>
      <c r="Q23" s="205">
        <f t="shared" si="9"/>
        <v>102.88296329051195</v>
      </c>
      <c r="R23" s="205">
        <f t="shared" si="10"/>
        <v>1748.5064504698489</v>
      </c>
      <c r="S23" s="319">
        <f t="shared" si="22"/>
        <v>2402.4478629455725</v>
      </c>
      <c r="T23" s="297">
        <v>2017</v>
      </c>
      <c r="U23" s="297" t="s">
        <v>323</v>
      </c>
      <c r="V23" s="205">
        <f t="shared" si="6"/>
        <v>1605.0330973417724</v>
      </c>
      <c r="W23" s="205">
        <f t="shared" si="12"/>
        <v>118.93931623931623</v>
      </c>
      <c r="X23" s="205">
        <f t="shared" si="13"/>
        <v>90.155174017458918</v>
      </c>
      <c r="Y23" s="205">
        <f t="shared" si="14"/>
        <v>1814.1275875985475</v>
      </c>
      <c r="Z23" s="319">
        <f t="shared" si="23"/>
        <v>2476.2932277099553</v>
      </c>
    </row>
    <row r="24" spans="1:26">
      <c r="A24" s="297">
        <v>2017</v>
      </c>
      <c r="B24" s="297" t="s">
        <v>324</v>
      </c>
      <c r="C24" s="298">
        <v>1135.3901270069496</v>
      </c>
      <c r="D24" s="298">
        <v>1238.6600000000001</v>
      </c>
      <c r="E24" s="298">
        <v>529.00975043528729</v>
      </c>
      <c r="G24" s="205">
        <f t="shared" si="16"/>
        <v>794.77308890486461</v>
      </c>
      <c r="H24" s="205">
        <f t="shared" si="17"/>
        <v>693.64960000000008</v>
      </c>
      <c r="I24" s="205">
        <f t="shared" si="18"/>
        <v>264.50487521764364</v>
      </c>
      <c r="J24" s="205">
        <f t="shared" si="19"/>
        <v>1752.9275641225081</v>
      </c>
      <c r="K24" s="205">
        <f t="shared" si="20"/>
        <v>2191.1594551531348</v>
      </c>
      <c r="L24" s="205">
        <f t="shared" si="21"/>
        <v>2793.7283053202468</v>
      </c>
      <c r="M24" s="297">
        <v>2017</v>
      </c>
      <c r="N24" s="297" t="s">
        <v>324</v>
      </c>
      <c r="O24" s="205">
        <f t="shared" si="7"/>
        <v>1601.7375617169414</v>
      </c>
      <c r="P24" s="205">
        <f t="shared" si="8"/>
        <v>168.49189484783133</v>
      </c>
      <c r="Q24" s="205">
        <f t="shared" si="9"/>
        <v>102.62789158444573</v>
      </c>
      <c r="R24" s="205">
        <f t="shared" si="10"/>
        <v>1872.8573481492185</v>
      </c>
      <c r="S24" s="319">
        <f t="shared" si="22"/>
        <v>2573.3059963570263</v>
      </c>
      <c r="T24" s="297">
        <v>2017</v>
      </c>
      <c r="U24" s="297" t="s">
        <v>324</v>
      </c>
      <c r="V24" s="205">
        <f t="shared" si="6"/>
        <v>1731.0159695709765</v>
      </c>
      <c r="W24" s="205">
        <f t="shared" si="12"/>
        <v>124.89291397076445</v>
      </c>
      <c r="X24" s="205">
        <f t="shared" si="13"/>
        <v>89.931657573998848</v>
      </c>
      <c r="Y24" s="205">
        <f t="shared" si="14"/>
        <v>1945.8405411157398</v>
      </c>
      <c r="Z24" s="319">
        <f t="shared" si="23"/>
        <v>2656.0820678256905</v>
      </c>
    </row>
    <row r="25" spans="1:26">
      <c r="A25" s="297">
        <v>2017</v>
      </c>
      <c r="B25" s="297" t="s">
        <v>325</v>
      </c>
      <c r="C25" s="298">
        <v>1191.7731149778233</v>
      </c>
      <c r="D25" s="298">
        <v>1407.44</v>
      </c>
      <c r="E25" s="298">
        <v>557.44133647874435</v>
      </c>
      <c r="G25" s="205">
        <f t="shared" si="16"/>
        <v>834.24118048447622</v>
      </c>
      <c r="H25" s="205">
        <f t="shared" si="17"/>
        <v>788.16640000000007</v>
      </c>
      <c r="I25" s="205">
        <f t="shared" si="18"/>
        <v>278.72066823937217</v>
      </c>
      <c r="J25" s="205">
        <f t="shared" si="19"/>
        <v>1901.1282487238484</v>
      </c>
      <c r="K25" s="205">
        <f t="shared" si="20"/>
        <v>2376.4103109048106</v>
      </c>
      <c r="L25" s="205">
        <f t="shared" si="21"/>
        <v>3029.9231464036334</v>
      </c>
      <c r="M25" s="297">
        <v>2017</v>
      </c>
      <c r="N25" s="297" t="s">
        <v>325</v>
      </c>
      <c r="O25" s="205">
        <f t="shared" si="7"/>
        <v>1737.1559372714164</v>
      </c>
      <c r="P25" s="205">
        <f t="shared" si="8"/>
        <v>176.85913026270899</v>
      </c>
      <c r="Q25" s="205">
        <f t="shared" si="9"/>
        <v>108.14361927687641</v>
      </c>
      <c r="R25" s="205">
        <f t="shared" si="10"/>
        <v>2022.1586868110019</v>
      </c>
      <c r="S25" s="319">
        <f t="shared" si="22"/>
        <v>2778.4460356783165</v>
      </c>
      <c r="T25" s="297">
        <v>2017</v>
      </c>
      <c r="U25" s="297" t="s">
        <v>325</v>
      </c>
      <c r="V25" s="205">
        <f t="shared" si="6"/>
        <v>1877.3641456148005</v>
      </c>
      <c r="W25" s="205">
        <f t="shared" si="12"/>
        <v>131.09504264756058</v>
      </c>
      <c r="X25" s="205">
        <f t="shared" si="13"/>
        <v>94.765027201386545</v>
      </c>
      <c r="Y25" s="205">
        <f t="shared" si="14"/>
        <v>2103.2242154637474</v>
      </c>
      <c r="Z25" s="319">
        <f t="shared" si="23"/>
        <v>2870.9115702290928</v>
      </c>
    </row>
    <row r="26" spans="1:26">
      <c r="A26" s="297">
        <v>2017</v>
      </c>
      <c r="B26" s="297" t="s">
        <v>326</v>
      </c>
      <c r="C26" s="298">
        <v>1252.6720588235294</v>
      </c>
      <c r="D26" s="298">
        <v>1562.34</v>
      </c>
      <c r="E26" s="298">
        <v>671.94838410651835</v>
      </c>
      <c r="G26" s="205">
        <f t="shared" si="16"/>
        <v>876.87044117647054</v>
      </c>
      <c r="H26" s="205">
        <f t="shared" si="17"/>
        <v>874.91039999999998</v>
      </c>
      <c r="I26" s="205">
        <f t="shared" si="18"/>
        <v>335.97419205325917</v>
      </c>
      <c r="J26" s="205">
        <f t="shared" si="19"/>
        <v>2087.7550332297296</v>
      </c>
      <c r="K26" s="205">
        <f t="shared" si="20"/>
        <v>2609.6937915371618</v>
      </c>
      <c r="L26" s="205">
        <f t="shared" si="21"/>
        <v>3327.3595842098812</v>
      </c>
      <c r="M26" s="297">
        <v>2017</v>
      </c>
      <c r="N26" s="297" t="s">
        <v>326</v>
      </c>
      <c r="O26" s="205">
        <f t="shared" si="7"/>
        <v>1907.6861616136653</v>
      </c>
      <c r="P26" s="205">
        <f t="shared" si="8"/>
        <v>185.89653352941176</v>
      </c>
      <c r="Q26" s="205">
        <f t="shared" si="9"/>
        <v>130.35798651666457</v>
      </c>
      <c r="R26" s="205">
        <f t="shared" si="10"/>
        <v>2223.9406816597416</v>
      </c>
      <c r="S26" s="319">
        <f t="shared" si="22"/>
        <v>3055.6944966004849</v>
      </c>
      <c r="T26" s="297">
        <v>2017</v>
      </c>
      <c r="U26" s="297" t="s">
        <v>326</v>
      </c>
      <c r="V26" s="205">
        <f t="shared" si="6"/>
        <v>2061.658095314358</v>
      </c>
      <c r="W26" s="205">
        <f t="shared" si="12"/>
        <v>137.79392647058822</v>
      </c>
      <c r="X26" s="205">
        <f t="shared" si="13"/>
        <v>114.23122529810813</v>
      </c>
      <c r="Y26" s="205">
        <f t="shared" si="14"/>
        <v>2313.6832470830545</v>
      </c>
      <c r="Z26" s="319">
        <f t="shared" si="23"/>
        <v>3158.1892006846047</v>
      </c>
    </row>
    <row r="27" spans="1:26">
      <c r="A27" s="297">
        <v>2018</v>
      </c>
      <c r="B27" s="297" t="s">
        <v>315</v>
      </c>
      <c r="C27" s="298">
        <v>1359.0586245772267</v>
      </c>
      <c r="D27" s="298">
        <v>1724.5806911129491</v>
      </c>
      <c r="E27" s="298">
        <v>787.28994261552396</v>
      </c>
      <c r="G27" s="205">
        <f t="shared" si="16"/>
        <v>951.34103720405869</v>
      </c>
      <c r="H27" s="205">
        <f t="shared" si="17"/>
        <v>965.76518702325166</v>
      </c>
      <c r="I27" s="205">
        <f t="shared" si="18"/>
        <v>393.64497130776198</v>
      </c>
      <c r="J27" s="205">
        <f t="shared" si="19"/>
        <v>2310.7511955350724</v>
      </c>
      <c r="K27" s="205">
        <f t="shared" si="20"/>
        <v>2888.4389944188401</v>
      </c>
      <c r="L27" s="205">
        <f t="shared" si="21"/>
        <v>3682.7597178840215</v>
      </c>
      <c r="M27" s="297">
        <v>2018</v>
      </c>
      <c r="N27" s="297" t="s">
        <v>315</v>
      </c>
      <c r="O27" s="205">
        <f t="shared" si="7"/>
        <v>2111.448904920172</v>
      </c>
      <c r="P27" s="205">
        <f t="shared" si="8"/>
        <v>201.68429988726047</v>
      </c>
      <c r="Q27" s="205">
        <f t="shared" si="9"/>
        <v>152.73424886741165</v>
      </c>
      <c r="R27" s="205">
        <f t="shared" si="10"/>
        <v>2465.867453674844</v>
      </c>
      <c r="S27" s="319">
        <f t="shared" si="22"/>
        <v>3388.1018813492356</v>
      </c>
      <c r="T27" s="297">
        <v>2018</v>
      </c>
      <c r="U27" s="297" t="s">
        <v>315</v>
      </c>
      <c r="V27" s="205">
        <f t="shared" si="6"/>
        <v>2281.8668055908838</v>
      </c>
      <c r="W27" s="205">
        <f t="shared" si="12"/>
        <v>149.49644870349493</v>
      </c>
      <c r="X27" s="205">
        <f t="shared" si="13"/>
        <v>133.83929024463907</v>
      </c>
      <c r="Y27" s="205">
        <f t="shared" si="14"/>
        <v>2565.2025445390177</v>
      </c>
      <c r="Z27" s="319">
        <f t="shared" si="23"/>
        <v>3501.5142993084819</v>
      </c>
    </row>
    <row r="28" spans="1:26">
      <c r="A28" s="297">
        <v>2018</v>
      </c>
      <c r="B28" s="297" t="s">
        <v>316</v>
      </c>
      <c r="C28" s="298">
        <v>1324.34</v>
      </c>
      <c r="D28" s="298">
        <v>2045.9768427919114</v>
      </c>
      <c r="E28" s="298">
        <v>735.51236985385424</v>
      </c>
      <c r="G28" s="205">
        <f t="shared" si="16"/>
        <v>927.0379999999999</v>
      </c>
      <c r="H28" s="205">
        <f t="shared" si="17"/>
        <v>1145.7470319634706</v>
      </c>
      <c r="I28" s="205">
        <f t="shared" si="18"/>
        <v>367.75618492692712</v>
      </c>
      <c r="J28" s="205">
        <f t="shared" si="19"/>
        <v>2440.5412168903977</v>
      </c>
      <c r="K28" s="205">
        <f t="shared" si="20"/>
        <v>3050.6765211129969</v>
      </c>
      <c r="L28" s="205">
        <f t="shared" si="21"/>
        <v>3889.6125644190711</v>
      </c>
      <c r="M28" s="297">
        <v>2018</v>
      </c>
      <c r="N28" s="297" t="s">
        <v>316</v>
      </c>
      <c r="O28" s="205">
        <f t="shared" si="7"/>
        <v>2230.0445369336007</v>
      </c>
      <c r="P28" s="205">
        <f t="shared" si="8"/>
        <v>196.53205599999998</v>
      </c>
      <c r="Q28" s="205">
        <f t="shared" si="9"/>
        <v>142.68939975164773</v>
      </c>
      <c r="R28" s="205">
        <f t="shared" si="10"/>
        <v>2569.2659926852484</v>
      </c>
      <c r="S28" s="319">
        <f t="shared" si="22"/>
        <v>3530.1714739495314</v>
      </c>
      <c r="T28" s="297">
        <v>2018</v>
      </c>
      <c r="U28" s="297" t="s">
        <v>316</v>
      </c>
      <c r="V28" s="205">
        <f t="shared" si="6"/>
        <v>2410.0344516792675</v>
      </c>
      <c r="W28" s="205">
        <f t="shared" si="12"/>
        <v>145.67740000000001</v>
      </c>
      <c r="X28" s="205">
        <f t="shared" si="13"/>
        <v>125.03710287515523</v>
      </c>
      <c r="Y28" s="205">
        <f t="shared" si="14"/>
        <v>2680.7489545544227</v>
      </c>
      <c r="Z28" s="319">
        <f t="shared" si="23"/>
        <v>3659.2357267115599</v>
      </c>
    </row>
    <row r="29" spans="1:26">
      <c r="A29" s="297">
        <v>2018</v>
      </c>
      <c r="B29" s="297" t="s">
        <v>317</v>
      </c>
      <c r="C29" s="298">
        <v>1435.45</v>
      </c>
      <c r="D29" s="298">
        <v>2260.6646595646134</v>
      </c>
      <c r="E29" s="298">
        <f t="shared" ref="E29:E33" si="24">E30+56</f>
        <v>778.76</v>
      </c>
      <c r="G29" s="205">
        <f t="shared" si="16"/>
        <v>1004.8149999999999</v>
      </c>
      <c r="H29" s="205">
        <f t="shared" si="17"/>
        <v>1265.9722093561836</v>
      </c>
      <c r="I29" s="205">
        <f t="shared" si="18"/>
        <v>389.38</v>
      </c>
      <c r="J29" s="205">
        <f t="shared" si="19"/>
        <v>2660.1672093561838</v>
      </c>
      <c r="K29" s="205">
        <f t="shared" si="20"/>
        <v>3325.2090116952295</v>
      </c>
      <c r="L29" s="205">
        <f t="shared" si="21"/>
        <v>4239.6414899114179</v>
      </c>
      <c r="M29" s="297">
        <v>2018</v>
      </c>
      <c r="N29" s="297" t="s">
        <v>317</v>
      </c>
      <c r="O29" s="205">
        <f t="shared" si="7"/>
        <v>2430.7277875492127</v>
      </c>
      <c r="P29" s="205">
        <f t="shared" si="8"/>
        <v>213.02078</v>
      </c>
      <c r="Q29" s="205">
        <f t="shared" si="9"/>
        <v>151.07944000000001</v>
      </c>
      <c r="R29" s="205">
        <f t="shared" si="10"/>
        <v>2794.8280075492125</v>
      </c>
      <c r="S29" s="319">
        <f t="shared" si="22"/>
        <v>3840.0936823726179</v>
      </c>
      <c r="T29" s="297">
        <v>2018</v>
      </c>
      <c r="U29" s="297" t="s">
        <v>317</v>
      </c>
      <c r="V29" s="205">
        <f t="shared" si="6"/>
        <v>2626.9151192392314</v>
      </c>
      <c r="W29" s="205">
        <f t="shared" si="12"/>
        <v>157.89950000000002</v>
      </c>
      <c r="X29" s="205">
        <f t="shared" si="13"/>
        <v>132.38920000000002</v>
      </c>
      <c r="Y29" s="205">
        <f t="shared" si="14"/>
        <v>2917.2038192392315</v>
      </c>
      <c r="Z29" s="319">
        <f t="shared" si="23"/>
        <v>3981.9977992806471</v>
      </c>
    </row>
    <row r="30" spans="1:26">
      <c r="A30" s="297">
        <v>2018</v>
      </c>
      <c r="B30" s="297" t="s">
        <v>318</v>
      </c>
      <c r="C30" s="298">
        <v>1367.34</v>
      </c>
      <c r="D30" s="298">
        <v>2102.8841635338345</v>
      </c>
      <c r="E30" s="298">
        <f t="shared" si="24"/>
        <v>722.76</v>
      </c>
      <c r="G30" s="205">
        <f t="shared" ref="G30:G41" si="25">C30*G$2</f>
        <v>957.13799999999992</v>
      </c>
      <c r="H30" s="205">
        <f t="shared" ref="H30:H41" si="26">D30*H$2</f>
        <v>1177.6151315789475</v>
      </c>
      <c r="I30" s="205">
        <f t="shared" ref="I30:I41" si="27">E30*I$2</f>
        <v>361.38</v>
      </c>
      <c r="J30" s="205">
        <f t="shared" ref="J30:J41" si="28">SUM(G30:I30)</f>
        <v>2496.1331315789475</v>
      </c>
      <c r="K30" s="205">
        <f t="shared" ref="K30:K41" si="29">J30/0.8</f>
        <v>3120.1664144736842</v>
      </c>
      <c r="L30" s="205">
        <f>K30+K30*12.2434%</f>
        <v>3502.1808692633554</v>
      </c>
      <c r="M30" s="297">
        <v>2018</v>
      </c>
      <c r="N30" s="297" t="s">
        <v>318</v>
      </c>
      <c r="O30" s="205">
        <f t="shared" si="7"/>
        <v>2280.841648980263</v>
      </c>
      <c r="P30" s="205">
        <f t="shared" si="8"/>
        <v>202.91325599999999</v>
      </c>
      <c r="Q30" s="205">
        <f t="shared" si="9"/>
        <v>140.21544</v>
      </c>
      <c r="R30" s="205">
        <f t="shared" si="10"/>
        <v>2623.9703449802628</v>
      </c>
      <c r="S30" s="319">
        <f>R30+R30*24.2%</f>
        <v>3258.9711684654862</v>
      </c>
      <c r="T30" s="297">
        <v>2018</v>
      </c>
      <c r="U30" s="297" t="s">
        <v>318</v>
      </c>
      <c r="V30" s="205">
        <f t="shared" si="6"/>
        <v>2464.9314674342108</v>
      </c>
      <c r="W30" s="205">
        <f t="shared" si="12"/>
        <v>150.4074</v>
      </c>
      <c r="X30" s="205">
        <f t="shared" si="13"/>
        <v>122.86920000000001</v>
      </c>
      <c r="Y30" s="205">
        <f t="shared" si="14"/>
        <v>2738.208067434211</v>
      </c>
      <c r="Z30" s="319">
        <f>Y30+Y30*22.80005%</f>
        <v>3362.5208759132447</v>
      </c>
    </row>
    <row r="31" spans="1:26">
      <c r="A31" s="297">
        <v>2018</v>
      </c>
      <c r="B31" s="297" t="s">
        <v>319</v>
      </c>
      <c r="C31" s="298">
        <v>1327.44</v>
      </c>
      <c r="D31" s="298">
        <v>2183.7025097060455</v>
      </c>
      <c r="E31" s="298">
        <f t="shared" si="24"/>
        <v>666.76</v>
      </c>
      <c r="G31" s="205">
        <f t="shared" si="25"/>
        <v>929.20799999999997</v>
      </c>
      <c r="H31" s="205">
        <f t="shared" si="26"/>
        <v>1222.8734054353856</v>
      </c>
      <c r="I31" s="205">
        <f t="shared" si="27"/>
        <v>333.38</v>
      </c>
      <c r="J31" s="205">
        <f t="shared" si="28"/>
        <v>2485.4614054353856</v>
      </c>
      <c r="K31" s="205">
        <f t="shared" si="29"/>
        <v>3106.8267567942316</v>
      </c>
      <c r="L31" s="205">
        <f t="shared" ref="L31:L41" si="30">K31+K31*12.2434%</f>
        <v>3487.2079839355765</v>
      </c>
      <c r="M31" s="297">
        <v>2018</v>
      </c>
      <c r="N31" s="297" t="s">
        <v>319</v>
      </c>
      <c r="O31" s="205">
        <f t="shared" si="7"/>
        <v>2271.0903592165832</v>
      </c>
      <c r="P31" s="205">
        <f t="shared" si="8"/>
        <v>196.992096</v>
      </c>
      <c r="Q31" s="205">
        <f t="shared" si="9"/>
        <v>129.35144</v>
      </c>
      <c r="R31" s="205">
        <f t="shared" si="10"/>
        <v>2597.4338952165831</v>
      </c>
      <c r="S31" s="319">
        <f t="shared" ref="S31:S41" si="31">R31+R31*24.2%</f>
        <v>3226.0128978589964</v>
      </c>
      <c r="T31" s="297">
        <v>2018</v>
      </c>
      <c r="U31" s="297" t="s">
        <v>319</v>
      </c>
      <c r="V31" s="205">
        <f t="shared" si="6"/>
        <v>2454.3931378674433</v>
      </c>
      <c r="W31" s="205">
        <f t="shared" si="12"/>
        <v>146.01840000000001</v>
      </c>
      <c r="X31" s="205">
        <f t="shared" si="13"/>
        <v>113.34920000000001</v>
      </c>
      <c r="Y31" s="205">
        <f t="shared" si="14"/>
        <v>2713.7607378674434</v>
      </c>
      <c r="Z31" s="319">
        <f t="shared" ref="Z31:Z41" si="32">Y31+Y31*22.80005%</f>
        <v>3332.4995429815895</v>
      </c>
    </row>
    <row r="32" spans="1:26">
      <c r="A32" s="297">
        <v>2018</v>
      </c>
      <c r="B32" s="297" t="s">
        <v>320</v>
      </c>
      <c r="C32" s="298">
        <v>1398.26</v>
      </c>
      <c r="D32" s="298">
        <v>2179.3550391316453</v>
      </c>
      <c r="E32" s="298">
        <f t="shared" si="24"/>
        <v>610.76</v>
      </c>
      <c r="G32" s="205">
        <f t="shared" si="25"/>
        <v>978.78199999999993</v>
      </c>
      <c r="H32" s="205">
        <f t="shared" si="26"/>
        <v>1220.4388219137215</v>
      </c>
      <c r="I32" s="205">
        <f t="shared" si="27"/>
        <v>305.38</v>
      </c>
      <c r="J32" s="205">
        <f t="shared" si="28"/>
        <v>2504.6008219137216</v>
      </c>
      <c r="K32" s="205">
        <f t="shared" si="29"/>
        <v>3130.7510273921516</v>
      </c>
      <c r="L32" s="205">
        <f t="shared" si="30"/>
        <v>3514.0613986798821</v>
      </c>
      <c r="M32" s="297">
        <v>2018</v>
      </c>
      <c r="N32" s="297" t="s">
        <v>320</v>
      </c>
      <c r="O32" s="205">
        <f t="shared" si="7"/>
        <v>2288.5790010236628</v>
      </c>
      <c r="P32" s="205">
        <f t="shared" si="8"/>
        <v>207.50178400000001</v>
      </c>
      <c r="Q32" s="205">
        <f t="shared" si="9"/>
        <v>118.48744000000001</v>
      </c>
      <c r="R32" s="205">
        <f t="shared" si="10"/>
        <v>2614.5682250236628</v>
      </c>
      <c r="S32" s="319">
        <f t="shared" si="31"/>
        <v>3247.2937354793894</v>
      </c>
      <c r="T32" s="297">
        <v>2018</v>
      </c>
      <c r="U32" s="297" t="s">
        <v>320</v>
      </c>
      <c r="V32" s="205">
        <f t="shared" si="6"/>
        <v>2473.2933116397999</v>
      </c>
      <c r="W32" s="205">
        <f t="shared" si="12"/>
        <v>153.80860000000001</v>
      </c>
      <c r="X32" s="205">
        <f t="shared" si="13"/>
        <v>103.8292</v>
      </c>
      <c r="Y32" s="205">
        <f t="shared" si="14"/>
        <v>2730.9311116397998</v>
      </c>
      <c r="Z32" s="319">
        <f t="shared" si="32"/>
        <v>3353.58477055923</v>
      </c>
    </row>
    <row r="33" spans="1:26">
      <c r="A33" s="297">
        <v>2018</v>
      </c>
      <c r="B33" s="297" t="s">
        <v>321</v>
      </c>
      <c r="C33" s="298">
        <v>1497.55</v>
      </c>
      <c r="D33" s="298">
        <v>2075.2564829612825</v>
      </c>
      <c r="E33" s="298">
        <f t="shared" si="24"/>
        <v>554.76</v>
      </c>
      <c r="G33" s="205">
        <f t="shared" si="25"/>
        <v>1048.2849999999999</v>
      </c>
      <c r="H33" s="205">
        <f t="shared" si="26"/>
        <v>1162.1436304583183</v>
      </c>
      <c r="I33" s="205">
        <f t="shared" si="27"/>
        <v>277.38</v>
      </c>
      <c r="J33" s="205">
        <f t="shared" si="28"/>
        <v>2487.8086304583185</v>
      </c>
      <c r="K33" s="205">
        <f t="shared" si="29"/>
        <v>3109.7607880728979</v>
      </c>
      <c r="L33" s="205">
        <f t="shared" si="30"/>
        <v>3490.5012403998148</v>
      </c>
      <c r="M33" s="297">
        <v>2018</v>
      </c>
      <c r="N33" s="297" t="s">
        <v>321</v>
      </c>
      <c r="O33" s="205">
        <f t="shared" si="7"/>
        <v>2273.2351360812881</v>
      </c>
      <c r="P33" s="205">
        <f t="shared" si="8"/>
        <v>222.23642000000001</v>
      </c>
      <c r="Q33" s="205">
        <f t="shared" si="9"/>
        <v>107.62344</v>
      </c>
      <c r="R33" s="205">
        <f t="shared" si="10"/>
        <v>2603.0949960812882</v>
      </c>
      <c r="S33" s="319">
        <f t="shared" si="31"/>
        <v>3233.0439851329597</v>
      </c>
      <c r="T33" s="297">
        <v>2018</v>
      </c>
      <c r="U33" s="297" t="s">
        <v>321</v>
      </c>
      <c r="V33" s="205">
        <f t="shared" si="6"/>
        <v>2456.7110225775896</v>
      </c>
      <c r="W33" s="205">
        <f t="shared" si="12"/>
        <v>164.73050000000001</v>
      </c>
      <c r="X33" s="205">
        <f t="shared" si="13"/>
        <v>94.309200000000004</v>
      </c>
      <c r="Y33" s="205">
        <f t="shared" si="14"/>
        <v>2715.7507225775898</v>
      </c>
      <c r="Z33" s="319">
        <f t="shared" si="32"/>
        <v>3334.9432452006417</v>
      </c>
    </row>
    <row r="34" spans="1:26">
      <c r="A34" s="297">
        <v>2018</v>
      </c>
      <c r="B34" s="297" t="s">
        <v>322</v>
      </c>
      <c r="C34" s="298">
        <v>1536.76</v>
      </c>
      <c r="D34" s="298">
        <v>2072.0546654099908</v>
      </c>
      <c r="E34" s="298">
        <f>E35+56</f>
        <v>498.76</v>
      </c>
      <c r="G34" s="205">
        <f t="shared" si="25"/>
        <v>1075.732</v>
      </c>
      <c r="H34" s="205">
        <f t="shared" si="26"/>
        <v>1160.3506126295949</v>
      </c>
      <c r="I34" s="205">
        <f t="shared" si="27"/>
        <v>249.38</v>
      </c>
      <c r="J34" s="205">
        <f t="shared" si="28"/>
        <v>2485.4626126295952</v>
      </c>
      <c r="K34" s="205">
        <f t="shared" si="29"/>
        <v>3106.8282657869941</v>
      </c>
      <c r="L34" s="205">
        <f t="shared" si="30"/>
        <v>3487.2096776803587</v>
      </c>
      <c r="M34" s="297">
        <v>2018</v>
      </c>
      <c r="N34" s="297" t="s">
        <v>322</v>
      </c>
      <c r="O34" s="205">
        <f t="shared" si="7"/>
        <v>2271.0914622902924</v>
      </c>
      <c r="P34" s="205">
        <f t="shared" si="8"/>
        <v>228.055184</v>
      </c>
      <c r="Q34" s="205">
        <f t="shared" si="9"/>
        <v>96.759439999999998</v>
      </c>
      <c r="R34" s="205">
        <f t="shared" si="10"/>
        <v>2595.906086290292</v>
      </c>
      <c r="S34" s="319">
        <f t="shared" si="31"/>
        <v>3224.1153591725424</v>
      </c>
      <c r="T34" s="297">
        <v>2018</v>
      </c>
      <c r="U34" s="297" t="s">
        <v>322</v>
      </c>
      <c r="V34" s="205">
        <f t="shared" si="6"/>
        <v>2454.3943299717253</v>
      </c>
      <c r="W34" s="205">
        <f t="shared" si="12"/>
        <v>169.0436</v>
      </c>
      <c r="X34" s="205">
        <f t="shared" si="13"/>
        <v>84.789200000000008</v>
      </c>
      <c r="Y34" s="205">
        <f t="shared" si="14"/>
        <v>2708.2271299717254</v>
      </c>
      <c r="Z34" s="319">
        <f t="shared" si="32"/>
        <v>3325.7042697188435</v>
      </c>
    </row>
    <row r="35" spans="1:26">
      <c r="A35" s="297">
        <v>2018</v>
      </c>
      <c r="B35" s="297" t="s">
        <v>323</v>
      </c>
      <c r="C35" s="298">
        <v>1416.78</v>
      </c>
      <c r="D35" s="298">
        <v>1923.4845072959827</v>
      </c>
      <c r="E35" s="298">
        <v>442.76</v>
      </c>
      <c r="G35" s="205">
        <f t="shared" si="25"/>
        <v>991.74599999999987</v>
      </c>
      <c r="H35" s="205">
        <f t="shared" si="26"/>
        <v>1077.1513240857505</v>
      </c>
      <c r="I35" s="205">
        <f t="shared" si="27"/>
        <v>221.38</v>
      </c>
      <c r="J35" s="205">
        <f t="shared" si="28"/>
        <v>2290.2773240857505</v>
      </c>
      <c r="K35" s="205">
        <f t="shared" si="29"/>
        <v>2862.8466551071879</v>
      </c>
      <c r="L35" s="205">
        <f t="shared" si="30"/>
        <v>3213.3564224785814</v>
      </c>
      <c r="M35" s="297">
        <v>2018</v>
      </c>
      <c r="N35" s="297" t="s">
        <v>323</v>
      </c>
      <c r="O35" s="205">
        <f t="shared" si="7"/>
        <v>2092.7409048833542</v>
      </c>
      <c r="P35" s="205">
        <f t="shared" si="8"/>
        <v>210.25015200000001</v>
      </c>
      <c r="Q35" s="205">
        <f t="shared" si="9"/>
        <v>85.895440000000008</v>
      </c>
      <c r="R35" s="205">
        <f t="shared" si="10"/>
        <v>2388.8864968833541</v>
      </c>
      <c r="S35" s="319">
        <f t="shared" si="31"/>
        <v>2966.9970291291256</v>
      </c>
      <c r="T35" s="297">
        <v>2018</v>
      </c>
      <c r="U35" s="297" t="s">
        <v>323</v>
      </c>
      <c r="V35" s="205">
        <f t="shared" si="6"/>
        <v>2261.6488575346784</v>
      </c>
      <c r="W35" s="205">
        <f t="shared" si="12"/>
        <v>155.8458</v>
      </c>
      <c r="X35" s="205">
        <f t="shared" si="13"/>
        <v>75.269199999999998</v>
      </c>
      <c r="Y35" s="205">
        <f t="shared" si="14"/>
        <v>2492.7638575346787</v>
      </c>
      <c r="Z35" s="319">
        <f t="shared" si="32"/>
        <v>3061.1152634345144</v>
      </c>
    </row>
    <row r="36" spans="1:26">
      <c r="A36" s="297">
        <v>2018</v>
      </c>
      <c r="B36" s="297" t="s">
        <v>324</v>
      </c>
      <c r="C36" s="298">
        <v>1384.35</v>
      </c>
      <c r="D36" s="298">
        <v>1888.34</v>
      </c>
      <c r="E36" s="298">
        <v>470.53</v>
      </c>
      <c r="G36" s="205">
        <f t="shared" si="25"/>
        <v>969.04499999999985</v>
      </c>
      <c r="H36" s="205">
        <f t="shared" si="26"/>
        <v>1057.4704000000002</v>
      </c>
      <c r="I36" s="205">
        <f t="shared" si="27"/>
        <v>235.26499999999999</v>
      </c>
      <c r="J36" s="205">
        <f t="shared" si="28"/>
        <v>2261.7804000000001</v>
      </c>
      <c r="K36" s="205">
        <f t="shared" si="29"/>
        <v>2827.2255</v>
      </c>
      <c r="L36" s="205">
        <f t="shared" si="30"/>
        <v>3173.3740268669999</v>
      </c>
      <c r="M36" s="297">
        <v>2018</v>
      </c>
      <c r="N36" s="297" t="s">
        <v>324</v>
      </c>
      <c r="O36" s="205">
        <f t="shared" si="7"/>
        <v>2066.7018404999999</v>
      </c>
      <c r="P36" s="205">
        <f t="shared" si="8"/>
        <v>205.43753999999998</v>
      </c>
      <c r="Q36" s="205">
        <f t="shared" si="9"/>
        <v>91.282820000000001</v>
      </c>
      <c r="R36" s="205">
        <f t="shared" si="10"/>
        <v>2363.4222004999997</v>
      </c>
      <c r="S36" s="319">
        <f t="shared" si="31"/>
        <v>2935.3703730209995</v>
      </c>
      <c r="T36" s="297">
        <v>2018</v>
      </c>
      <c r="U36" s="297" t="s">
        <v>324</v>
      </c>
      <c r="V36" s="205">
        <f t="shared" si="6"/>
        <v>2233.5081450000002</v>
      </c>
      <c r="W36" s="205">
        <f t="shared" si="12"/>
        <v>152.27849999999998</v>
      </c>
      <c r="X36" s="205">
        <f t="shared" si="13"/>
        <v>79.990099999999998</v>
      </c>
      <c r="Y36" s="205">
        <f t="shared" si="14"/>
        <v>2465.7767450000001</v>
      </c>
      <c r="Z36" s="319">
        <f t="shared" si="32"/>
        <v>3027.9750757483725</v>
      </c>
    </row>
    <row r="37" spans="1:26">
      <c r="A37" s="297">
        <v>2018</v>
      </c>
      <c r="B37" s="297" t="s">
        <v>325</v>
      </c>
      <c r="C37" s="298">
        <v>1348.76</v>
      </c>
      <c r="D37" s="298">
        <v>1854.34</v>
      </c>
      <c r="E37" s="298">
        <v>443.88</v>
      </c>
      <c r="G37" s="205">
        <f t="shared" si="25"/>
        <v>944.13199999999995</v>
      </c>
      <c r="H37" s="205">
        <f t="shared" si="26"/>
        <v>1038.4304</v>
      </c>
      <c r="I37" s="205">
        <f t="shared" si="27"/>
        <v>221.94</v>
      </c>
      <c r="J37" s="205">
        <f t="shared" si="28"/>
        <v>2204.5023999999999</v>
      </c>
      <c r="K37" s="205">
        <f t="shared" si="29"/>
        <v>2755.6279999999997</v>
      </c>
      <c r="L37" s="205">
        <f t="shared" si="30"/>
        <v>3093.0105585519996</v>
      </c>
      <c r="M37" s="297">
        <v>2018</v>
      </c>
      <c r="N37" s="297" t="s">
        <v>325</v>
      </c>
      <c r="O37" s="205">
        <f t="shared" si="7"/>
        <v>2014.3640679999996</v>
      </c>
      <c r="P37" s="205">
        <f t="shared" si="8"/>
        <v>200.15598400000002</v>
      </c>
      <c r="Q37" s="205">
        <f t="shared" si="9"/>
        <v>86.112719999999996</v>
      </c>
      <c r="R37" s="205">
        <f t="shared" si="10"/>
        <v>2300.6327719999999</v>
      </c>
      <c r="S37" s="319">
        <f t="shared" si="31"/>
        <v>2857.3859028239999</v>
      </c>
      <c r="T37" s="297">
        <v>2018</v>
      </c>
      <c r="U37" s="297" t="s">
        <v>325</v>
      </c>
      <c r="V37" s="205">
        <f t="shared" si="6"/>
        <v>2176.9461200000001</v>
      </c>
      <c r="W37" s="205">
        <f t="shared" si="12"/>
        <v>148.36359999999999</v>
      </c>
      <c r="X37" s="205">
        <f t="shared" si="13"/>
        <v>75.459600000000009</v>
      </c>
      <c r="Y37" s="205">
        <f t="shared" si="14"/>
        <v>2400.7693200000003</v>
      </c>
      <c r="Z37" s="319">
        <f t="shared" si="32"/>
        <v>2948.1459253446606</v>
      </c>
    </row>
    <row r="38" spans="1:26">
      <c r="A38" s="297">
        <v>2018</v>
      </c>
      <c r="B38" s="297" t="s">
        <v>326</v>
      </c>
      <c r="C38" s="298">
        <v>1279.98</v>
      </c>
      <c r="D38" s="298">
        <v>1785.46</v>
      </c>
      <c r="E38" s="298">
        <v>444.67</v>
      </c>
      <c r="G38" s="205">
        <f t="shared" si="25"/>
        <v>895.98599999999999</v>
      </c>
      <c r="H38" s="205">
        <f t="shared" si="26"/>
        <v>999.85760000000016</v>
      </c>
      <c r="I38" s="205">
        <f t="shared" si="27"/>
        <v>222.33500000000001</v>
      </c>
      <c r="J38" s="205">
        <f t="shared" si="28"/>
        <v>2118.1786000000002</v>
      </c>
      <c r="K38" s="205">
        <f t="shared" si="29"/>
        <v>2647.72325</v>
      </c>
      <c r="L38" s="205">
        <f t="shared" si="30"/>
        <v>2971.8945983905001</v>
      </c>
      <c r="M38" s="297">
        <v>2018</v>
      </c>
      <c r="N38" s="297" t="s">
        <v>326</v>
      </c>
      <c r="O38" s="205">
        <f t="shared" si="7"/>
        <v>1935.4856957499999</v>
      </c>
      <c r="P38" s="205">
        <f t="shared" si="8"/>
        <v>189.94903200000002</v>
      </c>
      <c r="Q38" s="205">
        <f t="shared" si="9"/>
        <v>86.265979999999999</v>
      </c>
      <c r="R38" s="205">
        <f t="shared" si="10"/>
        <v>2211.7007077500002</v>
      </c>
      <c r="S38" s="319">
        <f t="shared" si="31"/>
        <v>2746.9322790255001</v>
      </c>
      <c r="T38" s="297">
        <v>2018</v>
      </c>
      <c r="U38" s="297" t="s">
        <v>326</v>
      </c>
      <c r="V38" s="205">
        <f t="shared" ref="V38:V65" si="33">V$2*K38</f>
        <v>2091.7013675000003</v>
      </c>
      <c r="W38" s="205">
        <f t="shared" si="12"/>
        <v>140.7978</v>
      </c>
      <c r="X38" s="205">
        <f t="shared" si="13"/>
        <v>75.593900000000005</v>
      </c>
      <c r="Y38" s="205">
        <f t="shared" si="14"/>
        <v>2308.0930675</v>
      </c>
      <c r="Z38" s="319">
        <f t="shared" si="32"/>
        <v>2834.3394409365337</v>
      </c>
    </row>
    <row r="39" spans="1:26">
      <c r="A39" s="297">
        <v>2019</v>
      </c>
      <c r="B39" s="297" t="s">
        <v>315</v>
      </c>
      <c r="C39" s="298">
        <v>1143.07</v>
      </c>
      <c r="D39" s="298">
        <v>1646.92</v>
      </c>
      <c r="E39" s="298">
        <v>426.71</v>
      </c>
      <c r="G39" s="205">
        <f t="shared" si="25"/>
        <v>800.14899999999989</v>
      </c>
      <c r="H39" s="205">
        <f t="shared" si="26"/>
        <v>922.27520000000015</v>
      </c>
      <c r="I39" s="205">
        <f t="shared" si="27"/>
        <v>213.35499999999999</v>
      </c>
      <c r="J39" s="205">
        <f t="shared" si="28"/>
        <v>1935.7791999999999</v>
      </c>
      <c r="K39" s="205">
        <f t="shared" si="29"/>
        <v>2419.7239999999997</v>
      </c>
      <c r="L39" s="205">
        <f t="shared" si="30"/>
        <v>2715.9804882159997</v>
      </c>
      <c r="M39" s="297">
        <v>2019</v>
      </c>
      <c r="N39" s="297" t="s">
        <v>315</v>
      </c>
      <c r="O39" s="205">
        <f t="shared" si="7"/>
        <v>1768.8182439999998</v>
      </c>
      <c r="P39" s="205">
        <f t="shared" si="8"/>
        <v>169.63158799999999</v>
      </c>
      <c r="Q39" s="205">
        <f t="shared" si="9"/>
        <v>82.781739999999999</v>
      </c>
      <c r="R39" s="205">
        <f t="shared" si="10"/>
        <v>2021.2315719999997</v>
      </c>
      <c r="S39" s="319">
        <f t="shared" si="31"/>
        <v>2510.3696124239996</v>
      </c>
      <c r="T39" s="297">
        <v>2019</v>
      </c>
      <c r="U39" s="297" t="s">
        <v>315</v>
      </c>
      <c r="V39" s="205">
        <f t="shared" si="33"/>
        <v>1911.5819599999998</v>
      </c>
      <c r="W39" s="205">
        <f t="shared" si="12"/>
        <v>125.73769999999999</v>
      </c>
      <c r="X39" s="205">
        <f t="shared" si="13"/>
        <v>72.540700000000001</v>
      </c>
      <c r="Y39" s="205">
        <f t="shared" si="14"/>
        <v>2109.8603599999997</v>
      </c>
      <c r="Z39" s="319">
        <f t="shared" si="32"/>
        <v>2590.9095770101794</v>
      </c>
    </row>
    <row r="40" spans="1:26">
      <c r="A40" s="297">
        <v>2019</v>
      </c>
      <c r="B40" s="297" t="s">
        <v>316</v>
      </c>
      <c r="C40" s="298">
        <v>1154.6400000000001</v>
      </c>
      <c r="D40" s="298">
        <v>1699.17</v>
      </c>
      <c r="E40" s="298">
        <v>426.06</v>
      </c>
      <c r="G40" s="205">
        <f t="shared" si="25"/>
        <v>808.24800000000005</v>
      </c>
      <c r="H40" s="205">
        <f t="shared" si="26"/>
        <v>951.53520000000015</v>
      </c>
      <c r="I40" s="205">
        <f t="shared" si="27"/>
        <v>213.03</v>
      </c>
      <c r="J40" s="205">
        <f t="shared" si="28"/>
        <v>1972.8132000000003</v>
      </c>
      <c r="K40" s="205">
        <f t="shared" si="29"/>
        <v>2466.0165000000002</v>
      </c>
      <c r="L40" s="205">
        <f t="shared" si="30"/>
        <v>2767.9407641610001</v>
      </c>
      <c r="M40" s="297">
        <v>2019</v>
      </c>
      <c r="N40" s="297" t="s">
        <v>316</v>
      </c>
      <c r="O40" s="205">
        <f t="shared" si="7"/>
        <v>1802.6580615</v>
      </c>
      <c r="P40" s="205">
        <f t="shared" si="8"/>
        <v>171.34857600000001</v>
      </c>
      <c r="Q40" s="205">
        <f t="shared" si="9"/>
        <v>82.655640000000005</v>
      </c>
      <c r="R40" s="205">
        <f t="shared" si="10"/>
        <v>2056.6622775000001</v>
      </c>
      <c r="S40" s="319">
        <f t="shared" si="31"/>
        <v>2554.3745486550001</v>
      </c>
      <c r="T40" s="297">
        <v>2019</v>
      </c>
      <c r="U40" s="297" t="s">
        <v>316</v>
      </c>
      <c r="V40" s="205">
        <f t="shared" si="33"/>
        <v>1948.1530350000003</v>
      </c>
      <c r="W40" s="205">
        <f t="shared" si="12"/>
        <v>127.01040000000002</v>
      </c>
      <c r="X40" s="205">
        <f t="shared" si="13"/>
        <v>72.430199999999999</v>
      </c>
      <c r="Y40" s="205">
        <f t="shared" si="14"/>
        <v>2147.5936350000002</v>
      </c>
      <c r="Z40" s="319">
        <f t="shared" si="32"/>
        <v>2637.2460575768177</v>
      </c>
    </row>
    <row r="41" spans="1:26">
      <c r="A41" s="297">
        <v>2019</v>
      </c>
      <c r="B41" s="297" t="s">
        <v>317</v>
      </c>
      <c r="C41" s="298">
        <v>1202.75</v>
      </c>
      <c r="D41" s="297">
        <v>1675.79</v>
      </c>
      <c r="E41" s="298">
        <v>439.66</v>
      </c>
      <c r="G41" s="205">
        <f t="shared" si="25"/>
        <v>841.92499999999995</v>
      </c>
      <c r="H41" s="205">
        <f t="shared" si="26"/>
        <v>938.44240000000002</v>
      </c>
      <c r="I41" s="205">
        <f t="shared" si="27"/>
        <v>219.83</v>
      </c>
      <c r="J41" s="205">
        <f t="shared" si="28"/>
        <v>2000.1974</v>
      </c>
      <c r="K41" s="205">
        <f t="shared" si="29"/>
        <v>2500.2467499999998</v>
      </c>
      <c r="L41" s="205">
        <f t="shared" si="30"/>
        <v>2806.3619605894996</v>
      </c>
      <c r="M41" s="297">
        <v>2019</v>
      </c>
      <c r="N41" s="297" t="s">
        <v>317</v>
      </c>
      <c r="O41" s="205">
        <f t="shared" si="7"/>
        <v>1827.6803742499999</v>
      </c>
      <c r="P41" s="205">
        <f t="shared" si="8"/>
        <v>178.4881</v>
      </c>
      <c r="Q41" s="205">
        <f t="shared" si="9"/>
        <v>85.29404000000001</v>
      </c>
      <c r="R41" s="205">
        <f t="shared" si="10"/>
        <v>2091.4625142499999</v>
      </c>
      <c r="S41" s="319">
        <f t="shared" si="31"/>
        <v>2597.5964426984997</v>
      </c>
      <c r="T41" s="297">
        <v>2019</v>
      </c>
      <c r="U41" s="297" t="s">
        <v>317</v>
      </c>
      <c r="V41" s="205">
        <f t="shared" si="33"/>
        <v>1975.1949324999998</v>
      </c>
      <c r="W41" s="205">
        <f t="shared" si="12"/>
        <v>132.30250000000001</v>
      </c>
      <c r="X41" s="205">
        <f t="shared" si="13"/>
        <v>74.742200000000011</v>
      </c>
      <c r="Y41" s="205">
        <f t="shared" si="14"/>
        <v>2182.2396325</v>
      </c>
      <c r="Z41" s="319">
        <f t="shared" si="32"/>
        <v>2679.7913598298164</v>
      </c>
    </row>
    <row r="42" spans="1:26">
      <c r="A42" s="297">
        <v>2019</v>
      </c>
      <c r="B42" s="297" t="s">
        <v>318</v>
      </c>
      <c r="C42" s="298">
        <v>1213.0899999999999</v>
      </c>
      <c r="D42" s="297">
        <v>1682.77</v>
      </c>
      <c r="E42" s="298">
        <v>415.22</v>
      </c>
      <c r="G42" s="205">
        <f t="shared" ref="G42:G53" si="34">C42*G$2</f>
        <v>849.1629999999999</v>
      </c>
      <c r="H42" s="205">
        <f t="shared" ref="H42:H53" si="35">D42*H$2</f>
        <v>942.35120000000006</v>
      </c>
      <c r="I42" s="205">
        <f t="shared" ref="I42:I53" si="36">E42*I$2</f>
        <v>207.61</v>
      </c>
      <c r="J42" s="205">
        <f t="shared" ref="J42:J53" si="37">SUM(G42:I42)</f>
        <v>1999.1242000000002</v>
      </c>
      <c r="K42" s="205">
        <f t="shared" ref="K42:K53" si="38">J42/0.8</f>
        <v>2498.9052500000003</v>
      </c>
      <c r="L42" s="205">
        <f>K42+K42*16.4434%</f>
        <v>2909.8102358785004</v>
      </c>
      <c r="M42" s="297">
        <v>2019</v>
      </c>
      <c r="N42" s="297" t="s">
        <v>318</v>
      </c>
      <c r="O42" s="205">
        <f t="shared" si="7"/>
        <v>1826.6997377500002</v>
      </c>
      <c r="P42" s="205">
        <f t="shared" si="8"/>
        <v>180.02255599999998</v>
      </c>
      <c r="Q42" s="205">
        <f t="shared" si="9"/>
        <v>80.552680000000009</v>
      </c>
      <c r="R42" s="205">
        <f t="shared" si="10"/>
        <v>2087.2749737499998</v>
      </c>
      <c r="S42" s="319">
        <f>R42+R42*28.1%</f>
        <v>2673.7992413737497</v>
      </c>
      <c r="T42" s="297">
        <v>2019</v>
      </c>
      <c r="U42" s="297" t="s">
        <v>318</v>
      </c>
      <c r="V42" s="205">
        <f t="shared" si="33"/>
        <v>1974.1351475000004</v>
      </c>
      <c r="W42" s="205">
        <f t="shared" si="12"/>
        <v>133.43989999999999</v>
      </c>
      <c r="X42" s="205">
        <f t="shared" si="13"/>
        <v>70.587400000000017</v>
      </c>
      <c r="Y42" s="205">
        <f t="shared" si="14"/>
        <v>2178.1624475000003</v>
      </c>
      <c r="Z42" s="319">
        <f>Y42+Y42*26.720005%</f>
        <v>2760.1675623801229</v>
      </c>
    </row>
    <row r="43" spans="1:26">
      <c r="A43" s="297">
        <v>2019</v>
      </c>
      <c r="B43" s="297" t="s">
        <v>319</v>
      </c>
      <c r="C43" s="298">
        <v>1184.6500000000001</v>
      </c>
      <c r="D43" s="297">
        <v>1671.68</v>
      </c>
      <c r="E43" s="298">
        <v>412.98</v>
      </c>
      <c r="G43" s="205">
        <f t="shared" si="34"/>
        <v>829.255</v>
      </c>
      <c r="H43" s="205">
        <f t="shared" si="35"/>
        <v>936.14080000000013</v>
      </c>
      <c r="I43" s="205">
        <f t="shared" si="36"/>
        <v>206.49</v>
      </c>
      <c r="J43" s="205">
        <f t="shared" si="37"/>
        <v>1971.8858000000002</v>
      </c>
      <c r="K43" s="205">
        <f t="shared" si="38"/>
        <v>2464.85725</v>
      </c>
      <c r="L43" s="205">
        <f t="shared" ref="L43:L53" si="39">K43+K43*16.4434%</f>
        <v>2870.1635870465002</v>
      </c>
      <c r="M43" s="297">
        <v>2019</v>
      </c>
      <c r="N43" s="297" t="s">
        <v>319</v>
      </c>
      <c r="O43" s="205">
        <f t="shared" si="7"/>
        <v>1801.81064975</v>
      </c>
      <c r="P43" s="205">
        <f t="shared" si="8"/>
        <v>175.80206000000001</v>
      </c>
      <c r="Q43" s="205">
        <f t="shared" si="9"/>
        <v>80.118120000000005</v>
      </c>
      <c r="R43" s="205">
        <f t="shared" si="10"/>
        <v>2057.7308297499999</v>
      </c>
      <c r="S43" s="319">
        <f t="shared" ref="S43:S53" si="40">R43+R43*28.1%</f>
        <v>2635.9531929097498</v>
      </c>
      <c r="T43" s="297">
        <v>2019</v>
      </c>
      <c r="U43" s="297" t="s">
        <v>319</v>
      </c>
      <c r="V43" s="205">
        <f t="shared" si="33"/>
        <v>1947.2372275</v>
      </c>
      <c r="W43" s="205">
        <f t="shared" si="12"/>
        <v>130.31150000000002</v>
      </c>
      <c r="X43" s="205">
        <f t="shared" si="13"/>
        <v>70.206600000000009</v>
      </c>
      <c r="Y43" s="205">
        <f t="shared" si="14"/>
        <v>2147.7553275</v>
      </c>
      <c r="Z43" s="319">
        <f t="shared" ref="Z43:Z53" si="41">Y43+Y43*26.720005%</f>
        <v>2721.6356583957663</v>
      </c>
    </row>
    <row r="44" spans="1:26">
      <c r="A44" s="297">
        <v>2019</v>
      </c>
      <c r="B44" s="297" t="s">
        <v>320</v>
      </c>
      <c r="C44" s="298">
        <v>1179.6300000000001</v>
      </c>
      <c r="D44" s="297">
        <v>1629.3</v>
      </c>
      <c r="E44" s="298">
        <v>409.49</v>
      </c>
      <c r="G44" s="205">
        <f t="shared" si="34"/>
        <v>825.74099999999999</v>
      </c>
      <c r="H44" s="205">
        <f t="shared" si="35"/>
        <v>912.40800000000002</v>
      </c>
      <c r="I44" s="205">
        <f t="shared" si="36"/>
        <v>204.745</v>
      </c>
      <c r="J44" s="205">
        <f t="shared" si="37"/>
        <v>1942.8939999999998</v>
      </c>
      <c r="K44" s="205">
        <f t="shared" si="38"/>
        <v>2428.6174999999994</v>
      </c>
      <c r="L44" s="205">
        <f t="shared" si="39"/>
        <v>2827.9647899949991</v>
      </c>
      <c r="M44" s="297">
        <v>2019</v>
      </c>
      <c r="N44" s="297" t="s">
        <v>320</v>
      </c>
      <c r="O44" s="205">
        <f t="shared" si="7"/>
        <v>1775.3193924999996</v>
      </c>
      <c r="P44" s="205">
        <f t="shared" si="8"/>
        <v>175.05709200000001</v>
      </c>
      <c r="Q44" s="205">
        <f t="shared" si="9"/>
        <v>79.441060000000007</v>
      </c>
      <c r="R44" s="205">
        <f t="shared" si="10"/>
        <v>2029.8175444999997</v>
      </c>
      <c r="S44" s="319">
        <f t="shared" si="40"/>
        <v>2600.1962745044998</v>
      </c>
      <c r="T44" s="297">
        <v>2019</v>
      </c>
      <c r="U44" s="297" t="s">
        <v>320</v>
      </c>
      <c r="V44" s="205">
        <f t="shared" si="33"/>
        <v>1918.6078249999996</v>
      </c>
      <c r="W44" s="205">
        <f t="shared" si="12"/>
        <v>129.75930000000002</v>
      </c>
      <c r="X44" s="205">
        <f t="shared" si="13"/>
        <v>69.61330000000001</v>
      </c>
      <c r="Y44" s="205">
        <f t="shared" si="14"/>
        <v>2117.9804249999997</v>
      </c>
      <c r="Z44" s="319">
        <f t="shared" si="41"/>
        <v>2683.9049004590211</v>
      </c>
    </row>
    <row r="45" spans="1:26">
      <c r="A45" s="297">
        <v>2019</v>
      </c>
      <c r="B45" s="297" t="s">
        <v>321</v>
      </c>
      <c r="C45" s="298">
        <v>1210.1500000000001</v>
      </c>
      <c r="D45" s="297">
        <v>1652.32</v>
      </c>
      <c r="E45" s="298">
        <v>406.54</v>
      </c>
      <c r="G45" s="205">
        <f t="shared" si="34"/>
        <v>847.10500000000002</v>
      </c>
      <c r="H45" s="205">
        <f t="shared" si="35"/>
        <v>925.29920000000004</v>
      </c>
      <c r="I45" s="205">
        <f t="shared" si="36"/>
        <v>203.27</v>
      </c>
      <c r="J45" s="205">
        <f t="shared" si="37"/>
        <v>1975.6741999999999</v>
      </c>
      <c r="K45" s="205">
        <f t="shared" si="38"/>
        <v>2469.5927499999998</v>
      </c>
      <c r="L45" s="205">
        <f t="shared" si="39"/>
        <v>2875.6777642534998</v>
      </c>
      <c r="M45" s="297">
        <v>2019</v>
      </c>
      <c r="N45" s="297" t="s">
        <v>321</v>
      </c>
      <c r="O45" s="205">
        <f t="shared" si="7"/>
        <v>1805.2723002499997</v>
      </c>
      <c r="P45" s="205">
        <f t="shared" si="8"/>
        <v>179.58626000000001</v>
      </c>
      <c r="Q45" s="205">
        <f t="shared" si="9"/>
        <v>78.868760000000009</v>
      </c>
      <c r="R45" s="205">
        <f t="shared" si="10"/>
        <v>2063.7273202499996</v>
      </c>
      <c r="S45" s="319">
        <f t="shared" si="40"/>
        <v>2643.6346972402498</v>
      </c>
      <c r="T45" s="297">
        <v>2019</v>
      </c>
      <c r="U45" s="297" t="s">
        <v>321</v>
      </c>
      <c r="V45" s="205">
        <f t="shared" si="33"/>
        <v>1950.9782725</v>
      </c>
      <c r="W45" s="205">
        <f t="shared" si="12"/>
        <v>133.1165</v>
      </c>
      <c r="X45" s="205">
        <f t="shared" si="13"/>
        <v>69.111800000000002</v>
      </c>
      <c r="Y45" s="205">
        <f t="shared" si="14"/>
        <v>2153.2065725000002</v>
      </c>
      <c r="Z45" s="319">
        <f t="shared" si="41"/>
        <v>2728.5434763323292</v>
      </c>
    </row>
    <row r="46" spans="1:26">
      <c r="A46" s="297">
        <v>2019</v>
      </c>
      <c r="B46" s="297" t="s">
        <v>322</v>
      </c>
      <c r="C46" s="298">
        <v>1206.8900000000001</v>
      </c>
      <c r="D46" s="297">
        <v>1562.36</v>
      </c>
      <c r="E46" s="298">
        <v>392.28</v>
      </c>
      <c r="G46" s="205">
        <f t="shared" si="34"/>
        <v>844.82299999999998</v>
      </c>
      <c r="H46" s="205">
        <f t="shared" si="35"/>
        <v>874.92160000000001</v>
      </c>
      <c r="I46" s="205">
        <f t="shared" si="36"/>
        <v>196.14</v>
      </c>
      <c r="J46" s="205">
        <f t="shared" si="37"/>
        <v>1915.8845999999999</v>
      </c>
      <c r="K46" s="205">
        <f t="shared" si="38"/>
        <v>2394.8557499999997</v>
      </c>
      <c r="L46" s="205">
        <f t="shared" si="39"/>
        <v>2788.6514603954997</v>
      </c>
      <c r="M46" s="297">
        <v>2019</v>
      </c>
      <c r="N46" s="297" t="s">
        <v>322</v>
      </c>
      <c r="O46" s="205">
        <f t="shared" si="7"/>
        <v>1750.6395532499998</v>
      </c>
      <c r="P46" s="205">
        <f t="shared" si="8"/>
        <v>179.10247600000002</v>
      </c>
      <c r="Q46" s="205">
        <f t="shared" si="9"/>
        <v>76.102319999999992</v>
      </c>
      <c r="R46" s="205">
        <f t="shared" si="10"/>
        <v>2005.8443492499998</v>
      </c>
      <c r="S46" s="319">
        <f t="shared" si="40"/>
        <v>2569.4866113892499</v>
      </c>
      <c r="T46" s="297">
        <v>2019</v>
      </c>
      <c r="U46" s="297" t="s">
        <v>322</v>
      </c>
      <c r="V46" s="205">
        <f t="shared" si="33"/>
        <v>1891.9360424999998</v>
      </c>
      <c r="W46" s="205">
        <f t="shared" si="12"/>
        <v>132.75790000000001</v>
      </c>
      <c r="X46" s="205">
        <f t="shared" si="13"/>
        <v>66.687600000000003</v>
      </c>
      <c r="Y46" s="205">
        <f t="shared" si="14"/>
        <v>2091.3815424999998</v>
      </c>
      <c r="Z46" s="319">
        <f t="shared" si="41"/>
        <v>2650.198795225077</v>
      </c>
    </row>
    <row r="47" spans="1:26">
      <c r="A47" s="297">
        <v>2019</v>
      </c>
      <c r="B47" s="297" t="s">
        <v>323</v>
      </c>
      <c r="C47" s="298">
        <v>1208.69</v>
      </c>
      <c r="D47" s="297">
        <v>1610.66</v>
      </c>
      <c r="E47" s="298">
        <v>373.25</v>
      </c>
      <c r="G47" s="205">
        <f t="shared" si="34"/>
        <v>846.08299999999997</v>
      </c>
      <c r="H47" s="205">
        <f t="shared" si="35"/>
        <v>901.96960000000013</v>
      </c>
      <c r="I47" s="205">
        <f t="shared" si="36"/>
        <v>186.625</v>
      </c>
      <c r="J47" s="205">
        <f t="shared" si="37"/>
        <v>1934.6776</v>
      </c>
      <c r="K47" s="205">
        <f t="shared" si="38"/>
        <v>2418.3469999999998</v>
      </c>
      <c r="L47" s="205">
        <f t="shared" si="39"/>
        <v>2816.0054705979996</v>
      </c>
      <c r="M47" s="297">
        <v>2019</v>
      </c>
      <c r="N47" s="297" t="s">
        <v>323</v>
      </c>
      <c r="O47" s="205">
        <f t="shared" si="7"/>
        <v>1767.8116569999997</v>
      </c>
      <c r="P47" s="205">
        <f t="shared" si="8"/>
        <v>179.369596</v>
      </c>
      <c r="Q47" s="205">
        <f t="shared" si="9"/>
        <v>72.410499999999999</v>
      </c>
      <c r="R47" s="205">
        <f t="shared" si="10"/>
        <v>2019.5917529999997</v>
      </c>
      <c r="S47" s="319">
        <f t="shared" si="40"/>
        <v>2587.0970355929994</v>
      </c>
      <c r="T47" s="297">
        <v>2019</v>
      </c>
      <c r="U47" s="297" t="s">
        <v>323</v>
      </c>
      <c r="V47" s="205">
        <f t="shared" si="33"/>
        <v>1910.4941299999998</v>
      </c>
      <c r="W47" s="205">
        <f t="shared" si="12"/>
        <v>132.95590000000001</v>
      </c>
      <c r="X47" s="205">
        <f t="shared" si="13"/>
        <v>63.452500000000008</v>
      </c>
      <c r="Y47" s="205">
        <f t="shared" si="14"/>
        <v>2106.9025299999998</v>
      </c>
      <c r="Z47" s="319">
        <f t="shared" si="41"/>
        <v>2669.8669913611266</v>
      </c>
    </row>
    <row r="48" spans="1:26">
      <c r="A48" s="297">
        <v>2019</v>
      </c>
      <c r="B48" s="297" t="s">
        <v>324</v>
      </c>
      <c r="C48" s="298">
        <v>1233.8</v>
      </c>
      <c r="D48" s="297">
        <v>1547.28</v>
      </c>
      <c r="E48" s="298">
        <v>380.91</v>
      </c>
      <c r="G48" s="205">
        <f t="shared" si="34"/>
        <v>863.66</v>
      </c>
      <c r="H48" s="205">
        <f t="shared" si="35"/>
        <v>866.47680000000003</v>
      </c>
      <c r="I48" s="205">
        <f t="shared" si="36"/>
        <v>190.45500000000001</v>
      </c>
      <c r="J48" s="205">
        <f t="shared" si="37"/>
        <v>1920.5917999999999</v>
      </c>
      <c r="K48" s="205">
        <f t="shared" si="38"/>
        <v>2400.7397499999997</v>
      </c>
      <c r="L48" s="205">
        <f t="shared" si="39"/>
        <v>2795.5029900514996</v>
      </c>
      <c r="M48" s="297">
        <v>2019</v>
      </c>
      <c r="N48" s="297" t="s">
        <v>324</v>
      </c>
      <c r="O48" s="205">
        <f t="shared" si="7"/>
        <v>1754.9407572499997</v>
      </c>
      <c r="P48" s="205">
        <f t="shared" si="8"/>
        <v>183.09592000000001</v>
      </c>
      <c r="Q48" s="205">
        <f t="shared" si="9"/>
        <v>73.896540000000002</v>
      </c>
      <c r="R48" s="205">
        <f t="shared" si="10"/>
        <v>2011.9332172499996</v>
      </c>
      <c r="S48" s="319">
        <f t="shared" si="40"/>
        <v>2577.2864512972496</v>
      </c>
      <c r="T48" s="297">
        <v>2019</v>
      </c>
      <c r="U48" s="297" t="s">
        <v>324</v>
      </c>
      <c r="V48" s="205">
        <f t="shared" si="33"/>
        <v>1896.5844024999999</v>
      </c>
      <c r="W48" s="205">
        <f t="shared" si="12"/>
        <v>135.71799999999999</v>
      </c>
      <c r="X48" s="205">
        <f t="shared" si="13"/>
        <v>64.754700000000014</v>
      </c>
      <c r="Y48" s="205">
        <f t="shared" si="14"/>
        <v>2097.0571024999999</v>
      </c>
      <c r="Z48" s="319">
        <f t="shared" si="41"/>
        <v>2657.3908651408551</v>
      </c>
    </row>
    <row r="49" spans="1:26">
      <c r="A49" s="297">
        <v>2019</v>
      </c>
      <c r="B49" s="297" t="s">
        <v>325</v>
      </c>
      <c r="C49" s="298">
        <v>1245.28</v>
      </c>
      <c r="D49" s="297">
        <v>1511.12</v>
      </c>
      <c r="E49" s="298">
        <v>369.39</v>
      </c>
      <c r="G49" s="205">
        <f t="shared" si="34"/>
        <v>871.69599999999991</v>
      </c>
      <c r="H49" s="205">
        <f t="shared" si="35"/>
        <v>846.22720000000004</v>
      </c>
      <c r="I49" s="205">
        <f t="shared" si="36"/>
        <v>184.69499999999999</v>
      </c>
      <c r="J49" s="205">
        <f t="shared" si="37"/>
        <v>1902.6181999999999</v>
      </c>
      <c r="K49" s="205">
        <f t="shared" si="38"/>
        <v>2378.2727499999996</v>
      </c>
      <c r="L49" s="205">
        <f t="shared" si="39"/>
        <v>2769.3416513734996</v>
      </c>
      <c r="M49" s="297">
        <v>2019</v>
      </c>
      <c r="N49" s="297" t="s">
        <v>325</v>
      </c>
      <c r="O49" s="205">
        <f t="shared" si="7"/>
        <v>1738.5173802499996</v>
      </c>
      <c r="P49" s="205">
        <f t="shared" si="8"/>
        <v>184.79955200000001</v>
      </c>
      <c r="Q49" s="205">
        <f t="shared" si="9"/>
        <v>71.661659999999998</v>
      </c>
      <c r="R49" s="205">
        <f t="shared" si="10"/>
        <v>1994.9785922499996</v>
      </c>
      <c r="S49" s="319">
        <f t="shared" si="40"/>
        <v>2555.5675766722497</v>
      </c>
      <c r="T49" s="297">
        <v>2019</v>
      </c>
      <c r="U49" s="297" t="s">
        <v>325</v>
      </c>
      <c r="V49" s="205">
        <f t="shared" si="33"/>
        <v>1878.8354724999997</v>
      </c>
      <c r="W49" s="205">
        <f t="shared" si="12"/>
        <v>136.98079999999999</v>
      </c>
      <c r="X49" s="205">
        <f t="shared" si="13"/>
        <v>62.796300000000002</v>
      </c>
      <c r="Y49" s="205">
        <f t="shared" si="14"/>
        <v>2078.6125724999997</v>
      </c>
      <c r="Z49" s="319">
        <f t="shared" si="41"/>
        <v>2634.0179558026284</v>
      </c>
    </row>
    <row r="50" spans="1:26">
      <c r="A50" s="297">
        <v>2019</v>
      </c>
      <c r="B50" s="297" t="s">
        <v>326</v>
      </c>
      <c r="C50" s="298">
        <v>1269.25</v>
      </c>
      <c r="D50" s="297">
        <v>1401.45</v>
      </c>
      <c r="E50" s="298">
        <v>392.08</v>
      </c>
      <c r="G50" s="205">
        <f t="shared" si="34"/>
        <v>888.47499999999991</v>
      </c>
      <c r="H50" s="205">
        <f t="shared" si="35"/>
        <v>784.81200000000013</v>
      </c>
      <c r="I50" s="205">
        <f t="shared" si="36"/>
        <v>196.04</v>
      </c>
      <c r="J50" s="205">
        <f t="shared" si="37"/>
        <v>1869.327</v>
      </c>
      <c r="K50" s="205">
        <f t="shared" si="38"/>
        <v>2336.6587500000001</v>
      </c>
      <c r="L50" s="205">
        <f t="shared" si="39"/>
        <v>2720.8848948975001</v>
      </c>
      <c r="M50" s="297">
        <v>2019</v>
      </c>
      <c r="N50" s="297" t="s">
        <v>326</v>
      </c>
      <c r="O50" s="205">
        <f t="shared" si="7"/>
        <v>1708.0975462500001</v>
      </c>
      <c r="P50" s="205">
        <f t="shared" si="8"/>
        <v>188.35670000000002</v>
      </c>
      <c r="Q50" s="205">
        <f t="shared" si="9"/>
        <v>76.063519999999997</v>
      </c>
      <c r="R50" s="205">
        <f t="shared" si="10"/>
        <v>1972.51776625</v>
      </c>
      <c r="S50" s="319">
        <f t="shared" si="40"/>
        <v>2526.7952585662501</v>
      </c>
      <c r="T50" s="297">
        <v>2019</v>
      </c>
      <c r="U50" s="297" t="s">
        <v>326</v>
      </c>
      <c r="V50" s="205">
        <f t="shared" si="33"/>
        <v>1845.9604125000001</v>
      </c>
      <c r="W50" s="205">
        <f t="shared" si="12"/>
        <v>139.61750000000001</v>
      </c>
      <c r="X50" s="205">
        <f t="shared" si="13"/>
        <v>66.653599999999997</v>
      </c>
      <c r="Y50" s="205">
        <f t="shared" si="14"/>
        <v>2052.2315125</v>
      </c>
      <c r="Z50" s="319">
        <f t="shared" si="41"/>
        <v>2600.5878752515755</v>
      </c>
    </row>
    <row r="51" spans="1:26">
      <c r="A51" s="297">
        <v>2020</v>
      </c>
      <c r="B51" s="297" t="s">
        <v>315</v>
      </c>
      <c r="C51" s="298">
        <v>1268.07</v>
      </c>
      <c r="D51" s="297">
        <v>1442.01</v>
      </c>
      <c r="E51" s="298">
        <v>386.73</v>
      </c>
      <c r="G51" s="205">
        <f t="shared" si="34"/>
        <v>887.64899999999989</v>
      </c>
      <c r="H51" s="205">
        <f t="shared" si="35"/>
        <v>807.52560000000005</v>
      </c>
      <c r="I51" s="205">
        <f t="shared" si="36"/>
        <v>193.36500000000001</v>
      </c>
      <c r="J51" s="205">
        <f t="shared" si="37"/>
        <v>1888.5395999999998</v>
      </c>
      <c r="K51" s="205">
        <f t="shared" si="38"/>
        <v>2360.6744999999996</v>
      </c>
      <c r="L51" s="205">
        <f t="shared" si="39"/>
        <v>2748.8496507329996</v>
      </c>
      <c r="M51" s="297">
        <v>2020</v>
      </c>
      <c r="N51" s="297" t="s">
        <v>315</v>
      </c>
      <c r="O51" s="205">
        <f t="shared" si="7"/>
        <v>1725.6530594999997</v>
      </c>
      <c r="P51" s="205">
        <f t="shared" si="8"/>
        <v>188.181588</v>
      </c>
      <c r="Q51" s="205">
        <f t="shared" si="9"/>
        <v>75.025620000000004</v>
      </c>
      <c r="R51" s="205">
        <f t="shared" si="10"/>
        <v>1988.8602674999997</v>
      </c>
      <c r="S51" s="319">
        <f t="shared" si="40"/>
        <v>2547.7300026674998</v>
      </c>
      <c r="T51" s="297">
        <v>2020</v>
      </c>
      <c r="U51" s="297" t="s">
        <v>315</v>
      </c>
      <c r="V51" s="205">
        <f t="shared" si="33"/>
        <v>1864.9328549999998</v>
      </c>
      <c r="W51" s="205">
        <f t="shared" si="12"/>
        <v>139.48769999999999</v>
      </c>
      <c r="X51" s="205">
        <f t="shared" si="13"/>
        <v>65.744100000000003</v>
      </c>
      <c r="Y51" s="205">
        <f t="shared" si="14"/>
        <v>2070.1646549999996</v>
      </c>
      <c r="Z51" s="319">
        <f t="shared" si="41"/>
        <v>2623.3127543242322</v>
      </c>
    </row>
    <row r="52" spans="1:26">
      <c r="A52" s="297">
        <v>2020</v>
      </c>
      <c r="B52" s="297" t="s">
        <v>316</v>
      </c>
      <c r="C52" s="298">
        <v>1282.32</v>
      </c>
      <c r="D52" s="297">
        <v>1477.82</v>
      </c>
      <c r="E52" s="298">
        <v>369.03</v>
      </c>
      <c r="G52" s="205">
        <f t="shared" si="34"/>
        <v>897.62399999999991</v>
      </c>
      <c r="H52" s="205">
        <f t="shared" si="35"/>
        <v>827.57920000000001</v>
      </c>
      <c r="I52" s="205">
        <f t="shared" si="36"/>
        <v>184.51499999999999</v>
      </c>
      <c r="J52" s="205">
        <f t="shared" si="37"/>
        <v>1909.7181999999998</v>
      </c>
      <c r="K52" s="205">
        <f t="shared" si="38"/>
        <v>2387.1477499999996</v>
      </c>
      <c r="L52" s="205">
        <f t="shared" si="39"/>
        <v>2779.6760031234994</v>
      </c>
      <c r="M52" s="297">
        <v>2020</v>
      </c>
      <c r="N52" s="297" t="s">
        <v>316</v>
      </c>
      <c r="O52" s="205">
        <f t="shared" si="7"/>
        <v>1745.0050052499996</v>
      </c>
      <c r="P52" s="205">
        <f t="shared" si="8"/>
        <v>190.296288</v>
      </c>
      <c r="Q52" s="205">
        <f t="shared" si="9"/>
        <v>71.591819999999998</v>
      </c>
      <c r="R52" s="205">
        <f t="shared" si="10"/>
        <v>2006.8931132499997</v>
      </c>
      <c r="S52" s="319">
        <f t="shared" si="40"/>
        <v>2570.8300780732498</v>
      </c>
      <c r="T52" s="297">
        <v>2020</v>
      </c>
      <c r="U52" s="297" t="s">
        <v>316</v>
      </c>
      <c r="V52" s="205">
        <f t="shared" si="33"/>
        <v>1885.8467224999997</v>
      </c>
      <c r="W52" s="205">
        <f t="shared" si="12"/>
        <v>141.05519999999999</v>
      </c>
      <c r="X52" s="205">
        <f t="shared" si="13"/>
        <v>62.735100000000003</v>
      </c>
      <c r="Y52" s="205">
        <f t="shared" si="14"/>
        <v>2089.6370224999996</v>
      </c>
      <c r="Z52" s="319">
        <f t="shared" si="41"/>
        <v>2647.9881393938508</v>
      </c>
    </row>
    <row r="53" spans="1:26">
      <c r="A53" s="297">
        <v>2020</v>
      </c>
      <c r="B53" s="297" t="s">
        <v>317</v>
      </c>
      <c r="C53" s="298">
        <v>1218.6300000000001</v>
      </c>
      <c r="D53" s="297">
        <v>1468.47</v>
      </c>
      <c r="E53" s="298">
        <v>348.2</v>
      </c>
      <c r="G53" s="205">
        <f t="shared" si="34"/>
        <v>853.04100000000005</v>
      </c>
      <c r="H53" s="205">
        <f t="shared" si="35"/>
        <v>822.34320000000014</v>
      </c>
      <c r="I53" s="205">
        <f t="shared" si="36"/>
        <v>174.1</v>
      </c>
      <c r="J53" s="205">
        <f t="shared" si="37"/>
        <v>1849.4842000000001</v>
      </c>
      <c r="K53" s="205">
        <f t="shared" si="38"/>
        <v>2311.8552500000001</v>
      </c>
      <c r="L53" s="205">
        <f t="shared" si="39"/>
        <v>2692.0028561785002</v>
      </c>
      <c r="M53" s="297">
        <v>2020</v>
      </c>
      <c r="N53" s="297" t="s">
        <v>317</v>
      </c>
      <c r="O53" s="205">
        <f t="shared" si="7"/>
        <v>1689.96618775</v>
      </c>
      <c r="P53" s="205">
        <f t="shared" si="8"/>
        <v>180.84469200000001</v>
      </c>
      <c r="Q53" s="205">
        <f t="shared" si="9"/>
        <v>67.550799999999995</v>
      </c>
      <c r="R53" s="205">
        <f t="shared" si="10"/>
        <v>1938.3616797499999</v>
      </c>
      <c r="S53" s="319">
        <f t="shared" si="40"/>
        <v>2483.04131175975</v>
      </c>
      <c r="T53" s="297">
        <v>2020</v>
      </c>
      <c r="U53" s="297" t="s">
        <v>317</v>
      </c>
      <c r="V53" s="205">
        <f t="shared" si="33"/>
        <v>1826.3656475000003</v>
      </c>
      <c r="W53" s="205">
        <f t="shared" si="12"/>
        <v>134.04930000000002</v>
      </c>
      <c r="X53" s="205">
        <f t="shared" si="13"/>
        <v>59.194000000000003</v>
      </c>
      <c r="Y53" s="205">
        <f t="shared" si="14"/>
        <v>2019.6089475000003</v>
      </c>
      <c r="Z53" s="319">
        <f t="shared" si="41"/>
        <v>2559.2485592524481</v>
      </c>
    </row>
    <row r="54" spans="1:26">
      <c r="A54" s="297">
        <v>2020</v>
      </c>
      <c r="B54" s="297" t="s">
        <v>318</v>
      </c>
      <c r="C54" s="298">
        <v>1173.0899999999999</v>
      </c>
      <c r="D54" s="297">
        <v>1393.9</v>
      </c>
      <c r="E54" s="298">
        <v>301.77</v>
      </c>
      <c r="G54" s="205">
        <f t="shared" ref="G54:G65" si="42">C54*G$2</f>
        <v>821.1629999999999</v>
      </c>
      <c r="H54" s="205">
        <f t="shared" ref="H54:H65" si="43">D54*H$2</f>
        <v>780.58400000000017</v>
      </c>
      <c r="I54" s="205">
        <f t="shared" ref="I54:I65" si="44">E54*I$2</f>
        <v>150.88499999999999</v>
      </c>
      <c r="J54" s="205">
        <f t="shared" ref="J54:J65" si="45">SUM(G54:I54)</f>
        <v>1752.6320000000001</v>
      </c>
      <c r="K54" s="205">
        <f t="shared" ref="K54:K65" si="46">J54/0.8</f>
        <v>2190.79</v>
      </c>
      <c r="L54" s="205">
        <f>K54+K54*59.9434%</f>
        <v>3504.0240128599999</v>
      </c>
      <c r="M54" s="297">
        <v>2020</v>
      </c>
      <c r="N54" s="297" t="s">
        <v>318</v>
      </c>
      <c r="O54" s="205">
        <f t="shared" si="7"/>
        <v>1601.46749</v>
      </c>
      <c r="P54" s="205">
        <f t="shared" si="8"/>
        <v>174.086556</v>
      </c>
      <c r="Q54" s="205">
        <f t="shared" si="9"/>
        <v>58.543379999999999</v>
      </c>
      <c r="R54" s="205">
        <f t="shared" si="10"/>
        <v>1834.097426</v>
      </c>
      <c r="S54" s="319">
        <f>R54+R54*65.4%</f>
        <v>3033.5971426040001</v>
      </c>
      <c r="T54" s="297">
        <v>2020</v>
      </c>
      <c r="U54" s="297" t="s">
        <v>318</v>
      </c>
      <c r="V54" s="205">
        <f t="shared" si="33"/>
        <v>1730.7241000000001</v>
      </c>
      <c r="W54" s="205">
        <f t="shared" si="12"/>
        <v>129.03989999999999</v>
      </c>
      <c r="X54" s="205">
        <f t="shared" si="13"/>
        <v>51.300899999999999</v>
      </c>
      <c r="Y54" s="205">
        <f t="shared" si="14"/>
        <v>1911.0649000000001</v>
      </c>
      <c r="Z54" s="319">
        <f>Y54+Y54*40.6120005%</f>
        <v>2687.1865867433244</v>
      </c>
    </row>
    <row r="55" spans="1:26">
      <c r="A55" s="297">
        <v>2020</v>
      </c>
      <c r="B55" s="297" t="s">
        <v>319</v>
      </c>
      <c r="C55" s="298">
        <v>1211.3800000000001</v>
      </c>
      <c r="D55" s="297">
        <v>1416.6</v>
      </c>
      <c r="E55" s="298">
        <v>283.58</v>
      </c>
      <c r="G55" s="205">
        <f t="shared" si="42"/>
        <v>847.96600000000001</v>
      </c>
      <c r="H55" s="205">
        <f t="shared" si="43"/>
        <v>793.29600000000005</v>
      </c>
      <c r="I55" s="205">
        <f t="shared" si="44"/>
        <v>141.79</v>
      </c>
      <c r="J55" s="205">
        <f t="shared" si="45"/>
        <v>1783.0520000000001</v>
      </c>
      <c r="K55" s="205">
        <f t="shared" si="46"/>
        <v>2228.8150000000001</v>
      </c>
      <c r="L55" s="205">
        <f t="shared" ref="L55:L65" si="47">K55+K55*59.9434%</f>
        <v>3564.8424907100002</v>
      </c>
      <c r="M55" s="297">
        <v>2020</v>
      </c>
      <c r="N55" s="297" t="s">
        <v>319</v>
      </c>
      <c r="O55" s="205">
        <f t="shared" si="7"/>
        <v>1629.2637649999999</v>
      </c>
      <c r="P55" s="205">
        <f t="shared" si="8"/>
        <v>179.76879200000002</v>
      </c>
      <c r="Q55" s="205">
        <f t="shared" si="9"/>
        <v>55.014519999999997</v>
      </c>
      <c r="R55" s="205">
        <f t="shared" si="10"/>
        <v>1864.0470769999999</v>
      </c>
      <c r="S55" s="319">
        <f t="shared" ref="S55:S65" si="48">R55+R55*65.4%</f>
        <v>3083.1338653579996</v>
      </c>
      <c r="T55" s="297">
        <v>2020</v>
      </c>
      <c r="U55" s="297" t="s">
        <v>319</v>
      </c>
      <c r="V55" s="205">
        <f t="shared" si="33"/>
        <v>1760.76385</v>
      </c>
      <c r="W55" s="205">
        <f t="shared" si="12"/>
        <v>133.2518</v>
      </c>
      <c r="X55" s="205">
        <f t="shared" si="13"/>
        <v>48.208600000000004</v>
      </c>
      <c r="Y55" s="205">
        <f t="shared" si="14"/>
        <v>1942.22425</v>
      </c>
      <c r="Z55" s="319">
        <f t="shared" ref="Z55:Z65" si="49">Y55+Y55*40.6120005%</f>
        <v>2731.0003721211215</v>
      </c>
    </row>
    <row r="56" spans="1:26">
      <c r="A56" s="297">
        <v>2020</v>
      </c>
      <c r="B56" s="297" t="s">
        <v>320</v>
      </c>
      <c r="C56" s="298">
        <v>1236.1099999999999</v>
      </c>
      <c r="D56" s="297">
        <v>1389.31</v>
      </c>
      <c r="E56" s="298">
        <v>299.77999999999997</v>
      </c>
      <c r="G56" s="205">
        <f t="shared" si="42"/>
        <v>865.27699999999993</v>
      </c>
      <c r="H56" s="205">
        <f t="shared" si="43"/>
        <v>778.0136</v>
      </c>
      <c r="I56" s="205">
        <f t="shared" si="44"/>
        <v>149.88999999999999</v>
      </c>
      <c r="J56" s="205">
        <f t="shared" si="45"/>
        <v>1793.1805999999997</v>
      </c>
      <c r="K56" s="205">
        <f t="shared" si="46"/>
        <v>2241.4757499999996</v>
      </c>
      <c r="L56" s="205">
        <f t="shared" si="47"/>
        <v>3585.0925247254995</v>
      </c>
      <c r="M56" s="297">
        <v>2020</v>
      </c>
      <c r="N56" s="297" t="s">
        <v>320</v>
      </c>
      <c r="O56" s="205">
        <f t="shared" si="7"/>
        <v>1638.5187732499996</v>
      </c>
      <c r="P56" s="205">
        <f t="shared" si="8"/>
        <v>183.43872399999998</v>
      </c>
      <c r="Q56" s="205">
        <f t="shared" si="9"/>
        <v>58.157319999999999</v>
      </c>
      <c r="R56" s="205">
        <f t="shared" si="10"/>
        <v>1880.1148172499995</v>
      </c>
      <c r="S56" s="319">
        <f t="shared" si="48"/>
        <v>3109.7099077314992</v>
      </c>
      <c r="T56" s="297">
        <v>2020</v>
      </c>
      <c r="U56" s="297" t="s">
        <v>320</v>
      </c>
      <c r="V56" s="205">
        <f t="shared" si="33"/>
        <v>1770.7658424999997</v>
      </c>
      <c r="W56" s="205">
        <f t="shared" si="12"/>
        <v>135.97209999999998</v>
      </c>
      <c r="X56" s="205">
        <f t="shared" si="13"/>
        <v>50.962600000000002</v>
      </c>
      <c r="Y56" s="205">
        <f t="shared" si="14"/>
        <v>1957.7005424999998</v>
      </c>
      <c r="Z56" s="319">
        <f t="shared" si="49"/>
        <v>2752.7618966086025</v>
      </c>
    </row>
    <row r="57" spans="1:26">
      <c r="A57" s="297">
        <v>2020</v>
      </c>
      <c r="B57" s="297" t="s">
        <v>321</v>
      </c>
      <c r="C57" s="298">
        <v>1259.97</v>
      </c>
      <c r="D57" s="297">
        <v>1409.46</v>
      </c>
      <c r="E57" s="298">
        <v>304.31</v>
      </c>
      <c r="G57" s="205">
        <f t="shared" si="42"/>
        <v>881.97899999999993</v>
      </c>
      <c r="H57" s="205">
        <f t="shared" si="43"/>
        <v>789.2976000000001</v>
      </c>
      <c r="I57" s="205">
        <f t="shared" si="44"/>
        <v>152.155</v>
      </c>
      <c r="J57" s="205">
        <f t="shared" si="45"/>
        <v>1823.4316000000001</v>
      </c>
      <c r="K57" s="205">
        <f t="shared" si="46"/>
        <v>2279.2894999999999</v>
      </c>
      <c r="L57" s="205">
        <f t="shared" si="47"/>
        <v>3645.5731221429996</v>
      </c>
      <c r="M57" s="297">
        <v>2020</v>
      </c>
      <c r="N57" s="297" t="s">
        <v>321</v>
      </c>
      <c r="O57" s="205">
        <f t="shared" si="7"/>
        <v>1666.1606244999998</v>
      </c>
      <c r="P57" s="205">
        <f t="shared" si="8"/>
        <v>186.97954800000002</v>
      </c>
      <c r="Q57" s="205">
        <f t="shared" si="9"/>
        <v>59.036140000000003</v>
      </c>
      <c r="R57" s="205">
        <f t="shared" si="10"/>
        <v>1912.1763124999998</v>
      </c>
      <c r="S57" s="319">
        <f t="shared" si="48"/>
        <v>3162.7396208749997</v>
      </c>
      <c r="T57" s="297">
        <v>2020</v>
      </c>
      <c r="U57" s="297" t="s">
        <v>321</v>
      </c>
      <c r="V57" s="205">
        <f t="shared" si="33"/>
        <v>1800.6387050000001</v>
      </c>
      <c r="W57" s="205">
        <f t="shared" si="12"/>
        <v>138.5967</v>
      </c>
      <c r="X57" s="205">
        <f t="shared" si="13"/>
        <v>51.732700000000001</v>
      </c>
      <c r="Y57" s="205">
        <f t="shared" si="14"/>
        <v>1990.9681050000002</v>
      </c>
      <c r="Z57" s="319">
        <f t="shared" si="49"/>
        <v>2799.5400817574409</v>
      </c>
    </row>
    <row r="58" spans="1:26">
      <c r="A58" s="297">
        <v>2020</v>
      </c>
      <c r="B58" s="297" t="s">
        <v>322</v>
      </c>
      <c r="C58" s="298">
        <v>1257.45</v>
      </c>
      <c r="D58" s="297">
        <v>1402.23</v>
      </c>
      <c r="E58" s="298">
        <v>337.82</v>
      </c>
      <c r="G58" s="205">
        <f t="shared" si="42"/>
        <v>880.21500000000003</v>
      </c>
      <c r="H58" s="205">
        <f t="shared" si="43"/>
        <v>785.24880000000007</v>
      </c>
      <c r="I58" s="205">
        <f t="shared" si="44"/>
        <v>168.91</v>
      </c>
      <c r="J58" s="205">
        <f t="shared" si="45"/>
        <v>1834.3738000000001</v>
      </c>
      <c r="K58" s="205">
        <f t="shared" si="46"/>
        <v>2292.9672500000001</v>
      </c>
      <c r="L58" s="205">
        <f t="shared" si="47"/>
        <v>3667.4497805365004</v>
      </c>
      <c r="M58" s="297">
        <v>2020</v>
      </c>
      <c r="N58" s="297" t="s">
        <v>322</v>
      </c>
      <c r="O58" s="205">
        <f t="shared" si="7"/>
        <v>1676.1590597500001</v>
      </c>
      <c r="P58" s="205">
        <f t="shared" si="8"/>
        <v>186.60558</v>
      </c>
      <c r="Q58" s="205">
        <f t="shared" si="9"/>
        <v>65.537080000000003</v>
      </c>
      <c r="R58" s="205">
        <f t="shared" si="10"/>
        <v>1928.3017197500001</v>
      </c>
      <c r="S58" s="319">
        <f t="shared" si="48"/>
        <v>3189.4110444665002</v>
      </c>
      <c r="T58" s="297">
        <v>2020</v>
      </c>
      <c r="U58" s="297" t="s">
        <v>322</v>
      </c>
      <c r="V58" s="205">
        <f t="shared" si="33"/>
        <v>1811.4441275000001</v>
      </c>
      <c r="W58" s="205">
        <f t="shared" si="12"/>
        <v>138.31950000000001</v>
      </c>
      <c r="X58" s="205">
        <f t="shared" si="13"/>
        <v>57.429400000000001</v>
      </c>
      <c r="Y58" s="205">
        <f t="shared" si="14"/>
        <v>2007.1930275000002</v>
      </c>
      <c r="Z58" s="319">
        <f t="shared" si="49"/>
        <v>2822.3542698642655</v>
      </c>
    </row>
    <row r="59" spans="1:26">
      <c r="A59" s="297">
        <v>2020</v>
      </c>
      <c r="B59" s="297" t="s">
        <v>323</v>
      </c>
      <c r="C59" s="298">
        <v>1284.92</v>
      </c>
      <c r="D59" s="297">
        <v>1433.13</v>
      </c>
      <c r="E59" s="298">
        <v>349.17</v>
      </c>
      <c r="G59" s="205">
        <f t="shared" si="42"/>
        <v>899.44399999999996</v>
      </c>
      <c r="H59" s="205">
        <f t="shared" si="43"/>
        <v>802.55280000000016</v>
      </c>
      <c r="I59" s="205">
        <f t="shared" si="44"/>
        <v>174.58500000000001</v>
      </c>
      <c r="J59" s="205">
        <f t="shared" si="45"/>
        <v>1876.5818000000002</v>
      </c>
      <c r="K59" s="205">
        <f t="shared" si="46"/>
        <v>2345.7272499999999</v>
      </c>
      <c r="L59" s="205">
        <f t="shared" si="47"/>
        <v>3751.8359183764996</v>
      </c>
      <c r="M59" s="297">
        <v>2020</v>
      </c>
      <c r="N59" s="297" t="s">
        <v>323</v>
      </c>
      <c r="O59" s="205">
        <f t="shared" si="7"/>
        <v>1714.7266197499998</v>
      </c>
      <c r="P59" s="205">
        <f t="shared" si="8"/>
        <v>190.68212800000001</v>
      </c>
      <c r="Q59" s="205">
        <f t="shared" si="9"/>
        <v>67.738980000000012</v>
      </c>
      <c r="R59" s="205">
        <f t="shared" si="10"/>
        <v>1973.1477277499998</v>
      </c>
      <c r="S59" s="319">
        <f t="shared" si="48"/>
        <v>3263.5863416984998</v>
      </c>
      <c r="T59" s="297">
        <v>2020</v>
      </c>
      <c r="U59" s="297" t="s">
        <v>323</v>
      </c>
      <c r="V59" s="205">
        <f t="shared" si="33"/>
        <v>1853.1245275000001</v>
      </c>
      <c r="W59" s="205">
        <f t="shared" si="12"/>
        <v>141.34120000000001</v>
      </c>
      <c r="X59" s="205">
        <f t="shared" si="13"/>
        <v>59.358900000000006</v>
      </c>
      <c r="Y59" s="205">
        <f t="shared" si="14"/>
        <v>2053.8246275000001</v>
      </c>
      <c r="Z59" s="319">
        <f t="shared" si="49"/>
        <v>2887.9238954894236</v>
      </c>
    </row>
    <row r="60" spans="1:26">
      <c r="A60" s="297">
        <v>2020</v>
      </c>
      <c r="B60" s="297" t="s">
        <v>324</v>
      </c>
      <c r="C60" s="298">
        <v>1271.49</v>
      </c>
      <c r="D60" s="297">
        <v>1449.64</v>
      </c>
      <c r="E60" s="298">
        <v>343.78</v>
      </c>
      <c r="G60" s="205">
        <f t="shared" si="42"/>
        <v>890.04300000000001</v>
      </c>
      <c r="H60" s="205">
        <f t="shared" si="43"/>
        <v>811.79840000000013</v>
      </c>
      <c r="I60" s="205">
        <f t="shared" si="44"/>
        <v>171.89</v>
      </c>
      <c r="J60" s="205">
        <f t="shared" si="45"/>
        <v>1873.7314000000001</v>
      </c>
      <c r="K60" s="205">
        <f t="shared" si="46"/>
        <v>2342.1642499999998</v>
      </c>
      <c r="L60" s="205">
        <f t="shared" si="47"/>
        <v>3746.1371350344998</v>
      </c>
      <c r="M60" s="297">
        <v>2020</v>
      </c>
      <c r="N60" s="297" t="s">
        <v>324</v>
      </c>
      <c r="O60" s="205">
        <f t="shared" si="7"/>
        <v>1712.1220667499999</v>
      </c>
      <c r="P60" s="205">
        <f t="shared" si="8"/>
        <v>188.68911600000001</v>
      </c>
      <c r="Q60" s="205">
        <f t="shared" si="9"/>
        <v>66.69332</v>
      </c>
      <c r="R60" s="205">
        <f t="shared" si="10"/>
        <v>1967.50450275</v>
      </c>
      <c r="S60" s="319">
        <f t="shared" si="48"/>
        <v>3254.2524475485002</v>
      </c>
      <c r="T60" s="297">
        <v>2020</v>
      </c>
      <c r="U60" s="297" t="s">
        <v>324</v>
      </c>
      <c r="V60" s="205">
        <f t="shared" si="33"/>
        <v>1850.3097574999999</v>
      </c>
      <c r="W60" s="205">
        <f t="shared" si="12"/>
        <v>139.8639</v>
      </c>
      <c r="X60" s="205">
        <f t="shared" si="13"/>
        <v>58.442599999999999</v>
      </c>
      <c r="Y60" s="205">
        <f t="shared" si="14"/>
        <v>2048.6162574999998</v>
      </c>
      <c r="Z60" s="319">
        <f t="shared" si="49"/>
        <v>2880.6003022389809</v>
      </c>
    </row>
    <row r="61" spans="1:26">
      <c r="A61" s="297">
        <v>2020</v>
      </c>
      <c r="B61" s="297" t="s">
        <v>325</v>
      </c>
      <c r="C61" s="298">
        <v>1306.99</v>
      </c>
      <c r="D61" s="297">
        <v>1447.12</v>
      </c>
      <c r="E61" s="298">
        <v>288.75</v>
      </c>
      <c r="G61" s="205">
        <f t="shared" si="42"/>
        <v>914.89299999999992</v>
      </c>
      <c r="H61" s="205">
        <f t="shared" si="43"/>
        <v>810.38720000000001</v>
      </c>
      <c r="I61" s="205">
        <f t="shared" si="44"/>
        <v>144.375</v>
      </c>
      <c r="J61" s="205">
        <f t="shared" si="45"/>
        <v>1869.6551999999999</v>
      </c>
      <c r="K61" s="205">
        <f t="shared" si="46"/>
        <v>2337.069</v>
      </c>
      <c r="L61" s="205">
        <f t="shared" si="47"/>
        <v>3737.9876189460001</v>
      </c>
      <c r="M61" s="297">
        <v>2020</v>
      </c>
      <c r="N61" s="297" t="s">
        <v>325</v>
      </c>
      <c r="O61" s="205">
        <f t="shared" si="7"/>
        <v>1708.3974389999998</v>
      </c>
      <c r="P61" s="205">
        <f t="shared" si="8"/>
        <v>193.95731600000002</v>
      </c>
      <c r="Q61" s="205">
        <f t="shared" si="9"/>
        <v>56.017499999999998</v>
      </c>
      <c r="R61" s="205">
        <f t="shared" si="10"/>
        <v>1958.3722549999998</v>
      </c>
      <c r="S61" s="319">
        <f t="shared" si="48"/>
        <v>3239.1477097699999</v>
      </c>
      <c r="T61" s="297">
        <v>2020</v>
      </c>
      <c r="U61" s="297" t="s">
        <v>325</v>
      </c>
      <c r="V61" s="205">
        <f t="shared" si="33"/>
        <v>1846.28451</v>
      </c>
      <c r="W61" s="205">
        <f t="shared" si="12"/>
        <v>143.7689</v>
      </c>
      <c r="X61" s="205">
        <f t="shared" si="13"/>
        <v>49.087500000000006</v>
      </c>
      <c r="Y61" s="205">
        <f t="shared" si="14"/>
        <v>2039.1409100000001</v>
      </c>
      <c r="Z61" s="319">
        <f t="shared" si="49"/>
        <v>2867.2768265649047</v>
      </c>
    </row>
    <row r="62" spans="1:26">
      <c r="A62" s="297">
        <v>2020</v>
      </c>
      <c r="B62" s="297" t="s">
        <v>326</v>
      </c>
      <c r="C62" s="298">
        <v>1351.3</v>
      </c>
      <c r="D62" s="297">
        <v>1474.89</v>
      </c>
      <c r="E62" s="298">
        <v>280.72000000000003</v>
      </c>
      <c r="G62" s="205">
        <f t="shared" si="42"/>
        <v>945.90999999999985</v>
      </c>
      <c r="H62" s="205">
        <f t="shared" si="43"/>
        <v>825.93840000000012</v>
      </c>
      <c r="I62" s="205">
        <f t="shared" si="44"/>
        <v>140.36000000000001</v>
      </c>
      <c r="J62" s="205">
        <f t="shared" si="45"/>
        <v>1912.2084</v>
      </c>
      <c r="K62" s="205">
        <f t="shared" si="46"/>
        <v>2390.2604999999999</v>
      </c>
      <c r="L62" s="205">
        <f t="shared" si="47"/>
        <v>3823.0639125569996</v>
      </c>
      <c r="M62" s="297">
        <v>2020</v>
      </c>
      <c r="N62" s="297" t="s">
        <v>326</v>
      </c>
      <c r="O62" s="205">
        <f t="shared" si="7"/>
        <v>1747.2804254999999</v>
      </c>
      <c r="P62" s="205">
        <f t="shared" si="8"/>
        <v>200.53291999999999</v>
      </c>
      <c r="Q62" s="205">
        <f t="shared" si="9"/>
        <v>54.459680000000006</v>
      </c>
      <c r="R62" s="205">
        <f t="shared" si="10"/>
        <v>2002.2730254999997</v>
      </c>
      <c r="S62" s="319">
        <f t="shared" si="48"/>
        <v>3311.7595841769999</v>
      </c>
      <c r="T62" s="297">
        <v>2020</v>
      </c>
      <c r="U62" s="297" t="s">
        <v>326</v>
      </c>
      <c r="V62" s="205">
        <f t="shared" si="33"/>
        <v>1888.305795</v>
      </c>
      <c r="W62" s="205">
        <f t="shared" si="12"/>
        <v>148.643</v>
      </c>
      <c r="X62" s="205">
        <f t="shared" si="13"/>
        <v>47.722400000000007</v>
      </c>
      <c r="Y62" s="205">
        <f t="shared" si="14"/>
        <v>2084.6711949999999</v>
      </c>
      <c r="Z62" s="319">
        <f t="shared" si="49"/>
        <v>2931.2978711367559</v>
      </c>
    </row>
    <row r="63" spans="1:26">
      <c r="A63" s="297">
        <v>2021</v>
      </c>
      <c r="B63" s="297" t="s">
        <v>315</v>
      </c>
      <c r="C63" s="298">
        <v>1602.16</v>
      </c>
      <c r="D63" s="297">
        <v>1558.26</v>
      </c>
      <c r="E63" s="298">
        <v>274.89</v>
      </c>
      <c r="G63" s="205">
        <f t="shared" si="42"/>
        <v>1121.5119999999999</v>
      </c>
      <c r="H63" s="205">
        <f t="shared" si="43"/>
        <v>872.62560000000008</v>
      </c>
      <c r="I63" s="205">
        <f t="shared" si="44"/>
        <v>137.44499999999999</v>
      </c>
      <c r="J63" s="205">
        <f t="shared" si="45"/>
        <v>2131.5826000000002</v>
      </c>
      <c r="K63" s="205">
        <f t="shared" si="46"/>
        <v>2664.4782500000001</v>
      </c>
      <c r="L63" s="205">
        <f t="shared" si="47"/>
        <v>4261.6571053104999</v>
      </c>
      <c r="M63" s="297">
        <v>2021</v>
      </c>
      <c r="N63" s="297" t="s">
        <v>315</v>
      </c>
      <c r="O63" s="205">
        <f t="shared" si="7"/>
        <v>1947.7336007500001</v>
      </c>
      <c r="P63" s="205">
        <f t="shared" si="8"/>
        <v>237.76054400000001</v>
      </c>
      <c r="Q63" s="205">
        <f t="shared" si="9"/>
        <v>53.328659999999999</v>
      </c>
      <c r="R63" s="205">
        <f t="shared" si="10"/>
        <v>2238.8228047500002</v>
      </c>
      <c r="S63" s="319">
        <f t="shared" si="48"/>
        <v>3703.0129190565003</v>
      </c>
      <c r="T63" s="297">
        <v>2021</v>
      </c>
      <c r="U63" s="297" t="s">
        <v>315</v>
      </c>
      <c r="V63" s="205">
        <f t="shared" si="33"/>
        <v>2104.9378175000002</v>
      </c>
      <c r="W63" s="205">
        <f t="shared" si="12"/>
        <v>176.23760000000001</v>
      </c>
      <c r="X63" s="205">
        <f t="shared" si="13"/>
        <v>46.731300000000005</v>
      </c>
      <c r="Y63" s="205">
        <f t="shared" si="14"/>
        <v>2327.9067175</v>
      </c>
      <c r="Z63" s="319">
        <f t="shared" si="49"/>
        <v>3273.3162052506336</v>
      </c>
    </row>
    <row r="64" spans="1:26">
      <c r="A64" s="297">
        <v>2021</v>
      </c>
      <c r="B64" s="297" t="s">
        <v>316</v>
      </c>
      <c r="C64" s="298">
        <v>1874.93</v>
      </c>
      <c r="D64" s="297">
        <v>1755.97</v>
      </c>
      <c r="E64" s="298">
        <v>306.17</v>
      </c>
      <c r="G64" s="205">
        <f t="shared" si="42"/>
        <v>1312.451</v>
      </c>
      <c r="H64" s="205">
        <f t="shared" si="43"/>
        <v>983.34320000000014</v>
      </c>
      <c r="I64" s="205">
        <f t="shared" si="44"/>
        <v>153.08500000000001</v>
      </c>
      <c r="J64" s="205">
        <f t="shared" si="45"/>
        <v>2448.8792000000003</v>
      </c>
      <c r="K64" s="205">
        <f t="shared" si="46"/>
        <v>3061.0990000000002</v>
      </c>
      <c r="L64" s="205">
        <f t="shared" si="47"/>
        <v>4896.0258179660004</v>
      </c>
      <c r="M64" s="297">
        <v>2021</v>
      </c>
      <c r="N64" s="297" t="s">
        <v>316</v>
      </c>
      <c r="O64" s="205">
        <f t="shared" si="7"/>
        <v>2237.6633689999999</v>
      </c>
      <c r="P64" s="205">
        <f t="shared" si="8"/>
        <v>278.23961200000002</v>
      </c>
      <c r="Q64" s="205">
        <f t="shared" si="9"/>
        <v>59.396980000000006</v>
      </c>
      <c r="R64" s="205">
        <f t="shared" si="10"/>
        <v>2575.2999609999997</v>
      </c>
      <c r="S64" s="319">
        <f t="shared" si="48"/>
        <v>4259.5461354939998</v>
      </c>
      <c r="T64" s="297">
        <v>2021</v>
      </c>
      <c r="U64" s="297" t="s">
        <v>316</v>
      </c>
      <c r="V64" s="205">
        <f t="shared" si="33"/>
        <v>2418.2682100000002</v>
      </c>
      <c r="W64" s="205">
        <f t="shared" si="12"/>
        <v>206.2423</v>
      </c>
      <c r="X64" s="205">
        <f t="shared" si="13"/>
        <v>52.048900000000003</v>
      </c>
      <c r="Y64" s="205">
        <f t="shared" si="14"/>
        <v>2676.5594099999998</v>
      </c>
      <c r="Z64" s="319">
        <f t="shared" si="49"/>
        <v>3763.5637309719968</v>
      </c>
    </row>
    <row r="65" spans="1:26">
      <c r="A65" s="297">
        <v>2021</v>
      </c>
      <c r="B65" s="297" t="s">
        <v>317</v>
      </c>
      <c r="C65" s="298">
        <v>2240.7199999999998</v>
      </c>
      <c r="D65" s="297">
        <v>1771.1</v>
      </c>
      <c r="E65" s="298">
        <v>324.48</v>
      </c>
      <c r="G65" s="205">
        <f t="shared" si="42"/>
        <v>1568.5039999999997</v>
      </c>
      <c r="H65" s="205">
        <f t="shared" si="43"/>
        <v>991.81600000000003</v>
      </c>
      <c r="I65" s="205">
        <f t="shared" si="44"/>
        <v>162.24</v>
      </c>
      <c r="J65" s="205">
        <f t="shared" si="45"/>
        <v>2722.5599999999995</v>
      </c>
      <c r="K65" s="205">
        <f t="shared" si="46"/>
        <v>3403.1999999999994</v>
      </c>
      <c r="L65" s="205">
        <f t="shared" si="47"/>
        <v>5443.1937887999993</v>
      </c>
      <c r="M65" s="297">
        <v>2021</v>
      </c>
      <c r="N65" s="297" t="s">
        <v>317</v>
      </c>
      <c r="O65" s="205">
        <f t="shared" si="7"/>
        <v>2487.7391999999995</v>
      </c>
      <c r="P65" s="205">
        <f t="shared" si="8"/>
        <v>332.52284799999995</v>
      </c>
      <c r="Q65" s="205">
        <f t="shared" si="9"/>
        <v>62.949120000000008</v>
      </c>
      <c r="R65" s="205">
        <f t="shared" si="10"/>
        <v>2883.2111679999998</v>
      </c>
      <c r="S65" s="319">
        <f t="shared" si="48"/>
        <v>4768.8312718719999</v>
      </c>
      <c r="T65" s="297">
        <v>2021</v>
      </c>
      <c r="U65" s="297" t="s">
        <v>317</v>
      </c>
      <c r="V65" s="205">
        <f t="shared" si="33"/>
        <v>2688.5279999999998</v>
      </c>
      <c r="W65" s="205">
        <f t="shared" si="12"/>
        <v>246.47919999999999</v>
      </c>
      <c r="X65" s="205">
        <f t="shared" si="13"/>
        <v>55.161600000000007</v>
      </c>
      <c r="Y65" s="205">
        <f t="shared" si="14"/>
        <v>2990.1687999999999</v>
      </c>
      <c r="Z65" s="319">
        <f t="shared" si="49"/>
        <v>4204.5361680068436</v>
      </c>
    </row>
    <row r="66" spans="1:26">
      <c r="A66" s="297">
        <v>2021</v>
      </c>
      <c r="B66" s="297" t="s">
        <v>318</v>
      </c>
      <c r="C66" s="298">
        <v>2446.89</v>
      </c>
      <c r="D66" s="297">
        <v>2154.71</v>
      </c>
      <c r="E66" s="298">
        <v>331.83</v>
      </c>
    </row>
    <row r="67" spans="1:26">
      <c r="A67" s="297">
        <v>2021</v>
      </c>
      <c r="B67" s="297" t="s">
        <v>319</v>
      </c>
      <c r="C67" s="298">
        <v>2535.0500000000002</v>
      </c>
      <c r="D67" s="297">
        <v>2561.5500000000002</v>
      </c>
      <c r="E67" s="298">
        <v>301.60000000000002</v>
      </c>
    </row>
    <row r="68" spans="1:26">
      <c r="A68" s="297">
        <v>2021</v>
      </c>
      <c r="B68" s="297" t="s">
        <v>320</v>
      </c>
      <c r="C68" s="298">
        <v>2579.94</v>
      </c>
      <c r="D68" s="297">
        <v>2593.66</v>
      </c>
      <c r="E68" s="298">
        <v>290.31</v>
      </c>
    </row>
    <row r="69" spans="1:26">
      <c r="A69" s="297">
        <v>2021</v>
      </c>
      <c r="B69" s="297" t="s">
        <v>321</v>
      </c>
      <c r="C69" s="298">
        <v>2697.67</v>
      </c>
      <c r="D69" s="297">
        <v>2591.54</v>
      </c>
      <c r="E69" s="298">
        <v>383.58</v>
      </c>
    </row>
    <row r="70" spans="1:26">
      <c r="A70" s="297">
        <v>2021</v>
      </c>
      <c r="B70" s="297" t="s">
        <v>322</v>
      </c>
      <c r="C70" s="297">
        <v>3201.64</v>
      </c>
      <c r="D70" s="297">
        <v>3084</v>
      </c>
      <c r="E70" s="298">
        <v>432.92</v>
      </c>
    </row>
    <row r="71" spans="1:26">
      <c r="A71" s="297">
        <v>2021</v>
      </c>
      <c r="B71" s="297" t="s">
        <v>323</v>
      </c>
      <c r="C71" s="297">
        <v>3739.56</v>
      </c>
      <c r="D71" s="297">
        <v>3135.11</v>
      </c>
      <c r="E71" s="298">
        <v>460.29</v>
      </c>
    </row>
    <row r="72" spans="1:26">
      <c r="A72" s="297">
        <v>2021</v>
      </c>
      <c r="B72" s="297" t="s">
        <v>324</v>
      </c>
      <c r="C72" s="297">
        <v>3762.32</v>
      </c>
      <c r="D72" s="297">
        <v>3228.66</v>
      </c>
      <c r="E72" s="298">
        <v>697.63</v>
      </c>
    </row>
    <row r="73" spans="1:26">
      <c r="A73" s="297">
        <v>2021</v>
      </c>
      <c r="B73" s="297" t="s">
        <v>325</v>
      </c>
      <c r="C73" s="297">
        <v>3820.15</v>
      </c>
      <c r="D73" s="297">
        <v>3786.58</v>
      </c>
      <c r="E73" s="298">
        <v>966.11</v>
      </c>
    </row>
    <row r="74" spans="1:26">
      <c r="A74" s="297">
        <v>2021</v>
      </c>
      <c r="B74" s="297" t="s">
        <v>326</v>
      </c>
      <c r="C74" s="297">
        <v>3450.05</v>
      </c>
      <c r="D74" s="297">
        <v>3544.03</v>
      </c>
      <c r="E74" s="298">
        <v>780.25</v>
      </c>
    </row>
    <row r="75" spans="1:26">
      <c r="A75" s="297" t="s">
        <v>351</v>
      </c>
      <c r="B75" s="2"/>
      <c r="C75" s="297">
        <v>3120.28</v>
      </c>
      <c r="D75" s="297">
        <v>3250</v>
      </c>
      <c r="E75" s="298">
        <v>610</v>
      </c>
    </row>
    <row r="76" spans="1:26">
      <c r="A76" s="297" t="s">
        <v>353</v>
      </c>
      <c r="B76" s="2"/>
      <c r="C76" s="297">
        <v>2840</v>
      </c>
      <c r="D76" s="297">
        <v>2870.71</v>
      </c>
      <c r="E76" s="298">
        <v>660</v>
      </c>
    </row>
    <row r="77" spans="1:26">
      <c r="A77" s="297" t="s">
        <v>354</v>
      </c>
      <c r="B77" s="2"/>
      <c r="C77" s="297">
        <v>2975</v>
      </c>
      <c r="D77" s="297">
        <v>3070</v>
      </c>
      <c r="E77" s="298">
        <v>620</v>
      </c>
    </row>
    <row r="78" spans="1:26">
      <c r="A78" s="297" t="s">
        <v>355</v>
      </c>
      <c r="B78" s="2"/>
      <c r="C78" s="297">
        <v>3340</v>
      </c>
      <c r="D78" s="297">
        <v>3450</v>
      </c>
      <c r="E78" s="298">
        <v>710</v>
      </c>
    </row>
    <row r="79" spans="1:26">
      <c r="A79" s="297" t="s">
        <v>352</v>
      </c>
      <c r="B79" s="2"/>
      <c r="C79" s="297">
        <v>2740</v>
      </c>
      <c r="D79" s="297">
        <v>2750</v>
      </c>
      <c r="E79" s="298">
        <v>670</v>
      </c>
    </row>
  </sheetData>
  <mergeCells count="1">
    <mergeCell ref="C2:E2"/>
  </mergeCells>
  <phoneticPr fontId="36" type="noConversion"/>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5C50BD-230C-469E-8904-05DB21D6F7AA}">
  <dimension ref="A1:O16"/>
  <sheetViews>
    <sheetView showGridLines="0" workbookViewId="0">
      <selection activeCell="A14" sqref="A14"/>
    </sheetView>
  </sheetViews>
  <sheetFormatPr defaultRowHeight="15"/>
  <cols>
    <col min="1" max="1" width="33.140625" bestFit="1" customWidth="1"/>
    <col min="2" max="2" width="22.5703125" bestFit="1" customWidth="1"/>
    <col min="4" max="4" width="2.140625" customWidth="1"/>
    <col min="5" max="5" width="13.28515625" bestFit="1" customWidth="1"/>
    <col min="6" max="9" width="14" bestFit="1" customWidth="1"/>
    <col min="10" max="10" width="15.5703125" bestFit="1" customWidth="1"/>
    <col min="11" max="14" width="14" bestFit="1" customWidth="1"/>
    <col min="15" max="15" width="2" hidden="1" customWidth="1"/>
    <col min="16" max="16" width="0" hidden="1" customWidth="1"/>
  </cols>
  <sheetData>
    <row r="1" spans="1:15">
      <c r="A1" s="126"/>
      <c r="B1" s="126"/>
      <c r="C1" s="126"/>
      <c r="D1" s="150"/>
      <c r="E1" s="69">
        <v>1</v>
      </c>
      <c r="F1" s="69">
        <v>2</v>
      </c>
      <c r="G1" s="69">
        <v>3</v>
      </c>
      <c r="H1" s="69">
        <v>4</v>
      </c>
      <c r="I1" s="69">
        <v>5</v>
      </c>
      <c r="J1" s="69">
        <v>6</v>
      </c>
      <c r="K1" s="70">
        <v>7</v>
      </c>
      <c r="L1" s="69">
        <v>8</v>
      </c>
      <c r="M1" s="70">
        <v>9</v>
      </c>
      <c r="N1" s="69">
        <v>10</v>
      </c>
      <c r="O1" s="151"/>
    </row>
    <row r="2" spans="1:15">
      <c r="A2" s="152" t="s">
        <v>133</v>
      </c>
      <c r="B2" s="126"/>
      <c r="C2" s="153"/>
      <c r="D2" s="150"/>
      <c r="E2" s="126"/>
      <c r="F2" s="126"/>
      <c r="G2" s="126"/>
      <c r="H2" s="126"/>
      <c r="I2" s="126"/>
      <c r="J2" s="126"/>
      <c r="K2" s="126"/>
      <c r="L2" s="126"/>
      <c r="M2" s="126"/>
      <c r="N2" s="126"/>
      <c r="O2" s="151"/>
    </row>
    <row r="3" spans="1:15">
      <c r="A3" s="126"/>
      <c r="B3" s="153" t="s">
        <v>134</v>
      </c>
      <c r="C3" s="126" t="s">
        <v>135</v>
      </c>
      <c r="D3" s="150"/>
      <c r="E3" s="154">
        <v>60</v>
      </c>
      <c r="F3" s="154">
        <v>60</v>
      </c>
      <c r="G3" s="154">
        <v>60</v>
      </c>
      <c r="H3" s="154">
        <v>60</v>
      </c>
      <c r="I3" s="154">
        <v>60</v>
      </c>
      <c r="J3" s="154">
        <v>60</v>
      </c>
      <c r="K3" s="154">
        <v>60</v>
      </c>
      <c r="L3" s="154">
        <v>60</v>
      </c>
      <c r="M3" s="154">
        <v>60</v>
      </c>
      <c r="N3" s="154">
        <v>60</v>
      </c>
      <c r="O3" s="151"/>
    </row>
    <row r="4" spans="1:15">
      <c r="A4" s="126"/>
      <c r="B4" s="153" t="s">
        <v>136</v>
      </c>
      <c r="C4" s="126"/>
      <c r="D4" s="150"/>
      <c r="E4" s="155">
        <f>'Cash Flow Epoxy Resin'!D8</f>
        <v>99455801.75999999</v>
      </c>
      <c r="F4" s="155">
        <f>'Cash Flow Epoxy Resin'!E8-'Cash Flow Epoxy Resin'!D8</f>
        <v>35336347.186560005</v>
      </c>
      <c r="G4" s="155">
        <f>'Cash Flow Epoxy Resin'!F8-'Cash Flow Epoxy Resin'!E8</f>
        <v>18788469.464548558</v>
      </c>
      <c r="H4" s="155">
        <f>'Cash Flow Epoxy Resin'!G8-'Cash Flow Epoxy Resin'!F8</f>
        <v>10878338.378281027</v>
      </c>
      <c r="I4" s="155">
        <f>'Cash Flow Epoxy Resin'!H8-'Cash Flow Epoxy Resin'!G8</f>
        <v>118683019.83234021</v>
      </c>
      <c r="J4" s="155">
        <f>'Cash Flow Epoxy Resin'!I8-'Cash Flow Epoxy Resin'!H8</f>
        <v>30726432.829408467</v>
      </c>
      <c r="K4" s="155">
        <f>'Cash Flow Epoxy Resin'!J8-'Cash Flow Epoxy Resin'!I8</f>
        <v>30049333.518475413</v>
      </c>
      <c r="L4" s="155">
        <f>'Cash Flow Epoxy Resin'!K8-'Cash Flow Epoxy Resin'!J8</f>
        <v>5183741.6505262256</v>
      </c>
      <c r="M4" s="155">
        <f>'Cash Flow Epoxy Resin'!L8-'Cash Flow Epoxy Resin'!K8</f>
        <v>5236522.2693020701</v>
      </c>
      <c r="N4" s="155">
        <f>'Cash Flow Epoxy Resin'!M8-'Cash Flow Epoxy Resin'!L8</f>
        <v>5315070.1033415794</v>
      </c>
      <c r="O4" s="155">
        <f>'Cash Flow'!N9-'Cash Flow'!M9</f>
        <v>-241793999.99999997</v>
      </c>
    </row>
    <row r="5" spans="1:15">
      <c r="A5" s="126"/>
      <c r="B5" s="153" t="s">
        <v>137</v>
      </c>
      <c r="C5" s="126"/>
      <c r="D5" s="150"/>
      <c r="E5" s="155">
        <f>+E4/365*E3</f>
        <v>16348898.919452053</v>
      </c>
      <c r="F5" s="155">
        <f t="shared" ref="F5:N5" si="0">+F4/365*F3</f>
        <v>5808714.6060098642</v>
      </c>
      <c r="G5" s="155">
        <f t="shared" si="0"/>
        <v>3088515.5284189414</v>
      </c>
      <c r="H5" s="155">
        <f t="shared" si="0"/>
        <v>1788220.0073886618</v>
      </c>
      <c r="I5" s="155">
        <f t="shared" si="0"/>
        <v>19509537.506686062</v>
      </c>
      <c r="J5" s="155">
        <f t="shared" si="0"/>
        <v>5050920.465108241</v>
      </c>
      <c r="K5" s="155">
        <f t="shared" si="0"/>
        <v>4939616.468790479</v>
      </c>
      <c r="L5" s="155">
        <f t="shared" si="0"/>
        <v>852121.91515499598</v>
      </c>
      <c r="M5" s="155">
        <f t="shared" si="0"/>
        <v>860798.18125513475</v>
      </c>
      <c r="N5" s="155">
        <f t="shared" si="0"/>
        <v>873710.15397395822</v>
      </c>
      <c r="O5" s="151"/>
    </row>
    <row r="6" spans="1:15">
      <c r="A6" s="126"/>
      <c r="B6" s="126"/>
      <c r="C6" s="126"/>
      <c r="D6" s="150"/>
      <c r="E6" s="126"/>
      <c r="F6" s="126"/>
      <c r="G6" s="126"/>
      <c r="H6" s="126"/>
      <c r="I6" s="126"/>
      <c r="J6" s="126"/>
      <c r="K6" s="126"/>
      <c r="L6" s="126"/>
      <c r="M6" s="126"/>
      <c r="N6" s="126"/>
      <c r="O6" s="151"/>
    </row>
    <row r="7" spans="1:15">
      <c r="A7" s="152" t="s">
        <v>138</v>
      </c>
      <c r="B7" s="126"/>
      <c r="C7" s="153"/>
      <c r="D7" s="150"/>
      <c r="E7" s="126"/>
      <c r="F7" s="126"/>
      <c r="G7" s="126"/>
      <c r="H7" s="126"/>
      <c r="I7" s="126"/>
      <c r="J7" s="126"/>
      <c r="K7" s="126"/>
      <c r="L7" s="126"/>
      <c r="M7" s="126"/>
      <c r="N7" s="126"/>
      <c r="O7" s="151"/>
    </row>
    <row r="8" spans="1:15">
      <c r="A8" s="126"/>
      <c r="B8" s="153" t="s">
        <v>139</v>
      </c>
      <c r="C8" s="126" t="s">
        <v>135</v>
      </c>
      <c r="D8" s="150"/>
      <c r="E8" s="154">
        <v>30</v>
      </c>
      <c r="F8" s="154">
        <v>30</v>
      </c>
      <c r="G8" s="154">
        <v>30</v>
      </c>
      <c r="H8" s="154">
        <v>30</v>
      </c>
      <c r="I8" s="154">
        <v>30</v>
      </c>
      <c r="J8" s="154">
        <v>30</v>
      </c>
      <c r="K8" s="154">
        <v>30</v>
      </c>
      <c r="L8" s="154">
        <v>30</v>
      </c>
      <c r="M8" s="154">
        <v>30</v>
      </c>
      <c r="N8" s="154">
        <v>30</v>
      </c>
      <c r="O8" s="151"/>
    </row>
    <row r="9" spans="1:15">
      <c r="A9" s="126"/>
      <c r="B9" s="153" t="s">
        <v>140</v>
      </c>
      <c r="C9" s="126"/>
      <c r="D9" s="150"/>
      <c r="E9" s="156">
        <f>'Cash Flow Epoxy Resin'!D32</f>
        <v>71306646.337891266</v>
      </c>
      <c r="F9" s="156">
        <f>'Cash Flow Epoxy Resin'!E32-'Cash Flow Epoxy Resin'!D32</f>
        <v>23105035.965234593</v>
      </c>
      <c r="G9" s="156">
        <f>'Cash Flow Epoxy Resin'!F32-'Cash Flow Epoxy Resin'!E32</f>
        <v>12585588.242086396</v>
      </c>
      <c r="H9" s="156">
        <f>'Cash Flow Epoxy Resin'!G32-'Cash Flow Epoxy Resin'!F32</f>
        <v>7266723.2541556507</v>
      </c>
      <c r="I9" s="156">
        <f>'Cash Flow Epoxy Resin'!H32-'Cash Flow Epoxy Resin'!G32</f>
        <v>76207867.124082327</v>
      </c>
      <c r="J9" s="156">
        <f>'Cash Flow Epoxy Resin'!I32-'Cash Flow Epoxy Resin'!H32</f>
        <v>28582618.813482821</v>
      </c>
      <c r="K9" s="156">
        <f>'Cash Flow Epoxy Resin'!J32-'Cash Flow Epoxy Resin'!I32</f>
        <v>20120468.754029304</v>
      </c>
      <c r="L9" s="156">
        <f>'Cash Flow Epoxy Resin'!K32-'Cash Flow Epoxy Resin'!J32</f>
        <v>3660927.2917563915</v>
      </c>
      <c r="M9" s="156">
        <f>'Cash Flow Epoxy Resin'!L32-'Cash Flow Epoxy Resin'!K32</f>
        <v>3942746.0540424287</v>
      </c>
      <c r="N9" s="156">
        <f>'Cash Flow Epoxy Resin'!M32-'Cash Flow Epoxy Resin'!L32</f>
        <v>4024245.4628867209</v>
      </c>
      <c r="O9" s="151"/>
    </row>
    <row r="10" spans="1:15">
      <c r="A10" s="126"/>
      <c r="B10" s="153" t="s">
        <v>141</v>
      </c>
      <c r="C10" s="126"/>
      <c r="D10" s="150"/>
      <c r="E10" s="155">
        <f>+E9/365*E8</f>
        <v>5860820.246949967</v>
      </c>
      <c r="F10" s="155">
        <f t="shared" ref="F10:N10" si="1">+F9/365*F8</f>
        <v>1899044.0519370898</v>
      </c>
      <c r="G10" s="155">
        <f t="shared" si="1"/>
        <v>1034431.9103084709</v>
      </c>
      <c r="H10" s="155">
        <f t="shared" si="1"/>
        <v>597264.92499909457</v>
      </c>
      <c r="I10" s="155">
        <f t="shared" si="1"/>
        <v>6263660.3115684101</v>
      </c>
      <c r="J10" s="155">
        <f t="shared" si="1"/>
        <v>2349256.3408342046</v>
      </c>
      <c r="K10" s="155">
        <f t="shared" si="1"/>
        <v>1653737.1578654223</v>
      </c>
      <c r="L10" s="155">
        <f t="shared" si="1"/>
        <v>300898.13356901845</v>
      </c>
      <c r="M10" s="155">
        <f>+M9/365*M8</f>
        <v>324061.31951033662</v>
      </c>
      <c r="N10" s="155">
        <f t="shared" si="1"/>
        <v>330759.90105918254</v>
      </c>
      <c r="O10" s="151"/>
    </row>
    <row r="11" spans="1:15">
      <c r="A11" s="126"/>
      <c r="B11" s="126"/>
      <c r="C11" s="126"/>
      <c r="D11" s="150"/>
      <c r="E11" s="126"/>
      <c r="F11" s="126"/>
      <c r="G11" s="126"/>
      <c r="H11" s="126"/>
      <c r="I11" s="126"/>
      <c r="J11" s="126"/>
      <c r="K11" s="126"/>
      <c r="L11" s="126"/>
      <c r="M11" s="126"/>
      <c r="N11" s="126"/>
      <c r="O11" s="151"/>
    </row>
    <row r="12" spans="1:15">
      <c r="A12" s="152" t="s">
        <v>142</v>
      </c>
      <c r="B12" s="126"/>
      <c r="C12" s="153"/>
      <c r="D12" s="150"/>
      <c r="E12" s="126"/>
      <c r="F12" s="126"/>
      <c r="G12" s="126"/>
      <c r="H12" s="126"/>
      <c r="I12" s="126"/>
      <c r="J12" s="126"/>
      <c r="K12" s="126"/>
      <c r="L12" s="126"/>
      <c r="M12" s="126"/>
      <c r="N12" s="126"/>
      <c r="O12" s="151"/>
    </row>
    <row r="13" spans="1:15">
      <c r="A13" s="126"/>
      <c r="B13" s="153" t="s">
        <v>143</v>
      </c>
      <c r="C13" s="126" t="s">
        <v>135</v>
      </c>
      <c r="D13" s="150"/>
      <c r="E13" s="154">
        <v>60</v>
      </c>
      <c r="F13" s="154">
        <v>60</v>
      </c>
      <c r="G13" s="154">
        <v>60</v>
      </c>
      <c r="H13" s="154">
        <v>60</v>
      </c>
      <c r="I13" s="154">
        <v>60</v>
      </c>
      <c r="J13" s="154">
        <v>60</v>
      </c>
      <c r="K13" s="154">
        <v>60</v>
      </c>
      <c r="L13" s="154">
        <v>60</v>
      </c>
      <c r="M13" s="154">
        <v>60</v>
      </c>
      <c r="N13" s="154">
        <v>60</v>
      </c>
      <c r="O13" s="151"/>
    </row>
    <row r="14" spans="1:15">
      <c r="A14" s="126"/>
      <c r="B14" s="153" t="s">
        <v>144</v>
      </c>
      <c r="C14" s="126"/>
      <c r="D14" s="150"/>
      <c r="E14" s="156">
        <f>-E9</f>
        <v>-71306646.337891266</v>
      </c>
      <c r="F14" s="156">
        <f t="shared" ref="F14:N14" si="2">-F9</f>
        <v>-23105035.965234593</v>
      </c>
      <c r="G14" s="156">
        <f t="shared" si="2"/>
        <v>-12585588.242086396</v>
      </c>
      <c r="H14" s="156">
        <f t="shared" si="2"/>
        <v>-7266723.2541556507</v>
      </c>
      <c r="I14" s="156">
        <f t="shared" si="2"/>
        <v>-76207867.124082327</v>
      </c>
      <c r="J14" s="156">
        <f t="shared" si="2"/>
        <v>-28582618.813482821</v>
      </c>
      <c r="K14" s="156">
        <f t="shared" si="2"/>
        <v>-20120468.754029304</v>
      </c>
      <c r="L14" s="156">
        <f t="shared" si="2"/>
        <v>-3660927.2917563915</v>
      </c>
      <c r="M14" s="156">
        <f>-M9</f>
        <v>-3942746.0540424287</v>
      </c>
      <c r="N14" s="156">
        <f t="shared" si="2"/>
        <v>-4024245.4628867209</v>
      </c>
      <c r="O14" s="151"/>
    </row>
    <row r="15" spans="1:15">
      <c r="A15" s="126"/>
      <c r="B15" s="153" t="s">
        <v>144</v>
      </c>
      <c r="C15" s="126"/>
      <c r="D15" s="150"/>
      <c r="E15" s="155">
        <f>+E14/365*E13</f>
        <v>-11721640.493899934</v>
      </c>
      <c r="F15" s="155">
        <f t="shared" ref="F15:N15" si="3">+F14/365*F13</f>
        <v>-3798088.1038741795</v>
      </c>
      <c r="G15" s="155">
        <f t="shared" si="3"/>
        <v>-2068863.8206169419</v>
      </c>
      <c r="H15" s="155">
        <f t="shared" si="3"/>
        <v>-1194529.8499981891</v>
      </c>
      <c r="I15" s="155">
        <f t="shared" si="3"/>
        <v>-12527320.62313682</v>
      </c>
      <c r="J15" s="155">
        <f t="shared" si="3"/>
        <v>-4698512.6816684091</v>
      </c>
      <c r="K15" s="155">
        <f t="shared" si="3"/>
        <v>-3307474.3157308446</v>
      </c>
      <c r="L15" s="155">
        <f t="shared" si="3"/>
        <v>-601796.2671380369</v>
      </c>
      <c r="M15" s="155">
        <f t="shared" si="3"/>
        <v>-648122.63902067323</v>
      </c>
      <c r="N15" s="155">
        <f t="shared" si="3"/>
        <v>-661519.80211836507</v>
      </c>
      <c r="O15" s="151"/>
    </row>
    <row r="16" spans="1:15">
      <c r="A16" s="126"/>
      <c r="B16" s="126"/>
      <c r="C16" s="126"/>
      <c r="D16" s="150"/>
      <c r="E16" s="126"/>
      <c r="F16" s="126"/>
      <c r="G16" s="126"/>
      <c r="H16" s="126"/>
      <c r="I16" s="126"/>
      <c r="J16" s="126"/>
      <c r="K16" s="126"/>
      <c r="L16" s="126"/>
      <c r="M16" s="126"/>
      <c r="N16" s="126"/>
      <c r="O16" s="15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3802D-C82B-4E1C-A4B6-68DF66BD8CED}">
  <dimension ref="A1:P67"/>
  <sheetViews>
    <sheetView showGridLines="0" topLeftCell="A55" workbookViewId="0">
      <selection activeCell="M66" sqref="M66"/>
    </sheetView>
  </sheetViews>
  <sheetFormatPr defaultRowHeight="15"/>
  <cols>
    <col min="1" max="1" width="4.140625" bestFit="1" customWidth="1"/>
    <col min="2" max="2" width="28.42578125" customWidth="1"/>
    <col min="3" max="3" width="17.5703125" customWidth="1"/>
    <col min="4" max="4" width="8.42578125" customWidth="1"/>
    <col min="5" max="5" width="16" customWidth="1"/>
    <col min="6" max="6" width="12.85546875" customWidth="1"/>
    <col min="7" max="7" width="16.7109375" customWidth="1"/>
    <col min="8" max="9" width="9.28515625" bestFit="1" customWidth="1"/>
    <col min="10" max="10" width="24.42578125" bestFit="1" customWidth="1"/>
    <col min="11" max="11" width="17" customWidth="1"/>
    <col min="12" max="12" width="9.28515625" bestFit="1" customWidth="1"/>
    <col min="13" max="13" width="8" bestFit="1" customWidth="1"/>
    <col min="14" max="14" width="15.5703125" customWidth="1"/>
    <col min="15" max="15" width="12.7109375" customWidth="1"/>
    <col min="16" max="16" width="10.140625" bestFit="1" customWidth="1"/>
  </cols>
  <sheetData>
    <row r="1" spans="1:16" ht="15.75" thickBot="1">
      <c r="A1" s="326" t="s">
        <v>187</v>
      </c>
      <c r="B1" s="327"/>
      <c r="C1" s="327"/>
      <c r="D1" s="327"/>
      <c r="E1" s="327"/>
      <c r="F1" s="327"/>
      <c r="G1" s="328"/>
      <c r="H1" s="231"/>
      <c r="I1" s="326" t="s">
        <v>188</v>
      </c>
      <c r="J1" s="327"/>
      <c r="K1" s="327"/>
      <c r="L1" s="327"/>
      <c r="M1" s="327"/>
      <c r="N1" s="327"/>
      <c r="O1" s="328"/>
      <c r="P1" s="231"/>
    </row>
    <row r="2" spans="1:16" ht="25.5">
      <c r="A2" s="329" t="s">
        <v>222</v>
      </c>
      <c r="B2" s="329" t="s">
        <v>8</v>
      </c>
      <c r="C2" s="329" t="s">
        <v>172</v>
      </c>
      <c r="D2" s="329" t="s">
        <v>173</v>
      </c>
      <c r="E2" s="232" t="s">
        <v>0</v>
      </c>
      <c r="F2" s="329" t="s">
        <v>128</v>
      </c>
      <c r="G2" s="331" t="s">
        <v>81</v>
      </c>
      <c r="H2" s="231"/>
      <c r="I2" s="333"/>
      <c r="J2" s="329" t="s">
        <v>8</v>
      </c>
      <c r="K2" s="329" t="s">
        <v>172</v>
      </c>
      <c r="L2" s="329" t="s">
        <v>173</v>
      </c>
      <c r="M2" s="232" t="s">
        <v>0</v>
      </c>
      <c r="N2" s="329" t="s">
        <v>128</v>
      </c>
      <c r="O2" s="331" t="s">
        <v>81</v>
      </c>
      <c r="P2" s="231"/>
    </row>
    <row r="3" spans="1:16" ht="26.25" thickBot="1">
      <c r="A3" s="330"/>
      <c r="B3" s="330"/>
      <c r="C3" s="330"/>
      <c r="D3" s="330"/>
      <c r="E3" s="233" t="s">
        <v>189</v>
      </c>
      <c r="F3" s="330"/>
      <c r="G3" s="332"/>
      <c r="H3" s="231"/>
      <c r="I3" s="334"/>
      <c r="J3" s="330"/>
      <c r="K3" s="330"/>
      <c r="L3" s="330"/>
      <c r="M3" s="233" t="s">
        <v>189</v>
      </c>
      <c r="N3" s="330"/>
      <c r="O3" s="332"/>
      <c r="P3" s="231"/>
    </row>
    <row r="4" spans="1:16" ht="39" thickBot="1">
      <c r="A4" s="234">
        <v>1</v>
      </c>
      <c r="B4" s="235" t="s">
        <v>56</v>
      </c>
      <c r="C4" s="235" t="s">
        <v>175</v>
      </c>
      <c r="D4" s="235">
        <v>1</v>
      </c>
      <c r="E4" s="235">
        <v>9.8000000000000004E-2</v>
      </c>
      <c r="F4" s="235" t="s">
        <v>190</v>
      </c>
      <c r="G4" s="235"/>
      <c r="H4" s="231">
        <f>0.091*3</f>
        <v>0.27300000000000002</v>
      </c>
      <c r="I4" s="234">
        <v>1</v>
      </c>
      <c r="J4" s="235" t="s">
        <v>56</v>
      </c>
      <c r="K4" s="235" t="s">
        <v>175</v>
      </c>
      <c r="L4" s="235">
        <v>1</v>
      </c>
      <c r="M4" s="235">
        <v>9.8000000000000004E-2</v>
      </c>
      <c r="N4" s="235" t="s">
        <v>190</v>
      </c>
      <c r="O4" s="235"/>
      <c r="P4" s="231"/>
    </row>
    <row r="5" spans="1:16" ht="26.25" thickBot="1">
      <c r="A5" s="234">
        <v>2</v>
      </c>
      <c r="B5" s="235" t="s">
        <v>57</v>
      </c>
      <c r="C5" s="235" t="s">
        <v>176</v>
      </c>
      <c r="D5" s="235">
        <v>2</v>
      </c>
      <c r="E5" s="235">
        <v>3.3000000000000002E-2</v>
      </c>
      <c r="F5" s="235" t="s">
        <v>190</v>
      </c>
      <c r="G5" s="235" t="s">
        <v>191</v>
      </c>
      <c r="H5" s="231"/>
      <c r="I5" s="234">
        <v>2</v>
      </c>
      <c r="J5" s="235" t="s">
        <v>57</v>
      </c>
      <c r="K5" s="235" t="s">
        <v>176</v>
      </c>
      <c r="L5" s="235">
        <v>2</v>
      </c>
      <c r="M5" s="235">
        <v>3.3000000000000002E-2</v>
      </c>
      <c r="N5" s="235" t="s">
        <v>190</v>
      </c>
      <c r="O5" s="235" t="s">
        <v>191</v>
      </c>
      <c r="P5" s="231"/>
    </row>
    <row r="6" spans="1:16" ht="15.75" thickBot="1">
      <c r="A6" s="234">
        <v>3</v>
      </c>
      <c r="B6" s="235" t="s">
        <v>192</v>
      </c>
      <c r="C6" s="235" t="s">
        <v>174</v>
      </c>
      <c r="D6" s="235">
        <v>1</v>
      </c>
      <c r="E6" s="235">
        <v>3.3000000000000002E-2</v>
      </c>
      <c r="F6" s="235" t="s">
        <v>190</v>
      </c>
      <c r="G6" s="235"/>
      <c r="H6" s="231"/>
      <c r="I6" s="234">
        <v>3</v>
      </c>
      <c r="J6" s="235" t="s">
        <v>193</v>
      </c>
      <c r="K6" s="235" t="s">
        <v>174</v>
      </c>
      <c r="L6" s="235">
        <v>1</v>
      </c>
      <c r="M6" s="235">
        <v>3.3000000000000002E-2</v>
      </c>
      <c r="N6" s="235" t="s">
        <v>190</v>
      </c>
      <c r="O6" s="235"/>
      <c r="P6" s="231"/>
    </row>
    <row r="7" spans="1:16" ht="15.75" thickBot="1">
      <c r="A7" s="234">
        <v>4</v>
      </c>
      <c r="B7" s="235" t="s">
        <v>58</v>
      </c>
      <c r="C7" s="235" t="s">
        <v>174</v>
      </c>
      <c r="D7" s="235">
        <v>1</v>
      </c>
      <c r="E7" s="235">
        <v>0.16400000000000001</v>
      </c>
      <c r="F7" s="235" t="s">
        <v>190</v>
      </c>
      <c r="G7" s="235"/>
      <c r="H7" s="231"/>
      <c r="I7" s="234">
        <v>4</v>
      </c>
      <c r="J7" s="235" t="s">
        <v>58</v>
      </c>
      <c r="K7" s="235" t="s">
        <v>174</v>
      </c>
      <c r="L7" s="235">
        <v>1</v>
      </c>
      <c r="M7" s="235">
        <v>0.16400000000000001</v>
      </c>
      <c r="N7" s="235" t="s">
        <v>190</v>
      </c>
      <c r="O7" s="235"/>
      <c r="P7" s="231"/>
    </row>
    <row r="8" spans="1:16" ht="26.25" thickBot="1">
      <c r="A8" s="234">
        <v>5</v>
      </c>
      <c r="B8" s="235" t="s">
        <v>59</v>
      </c>
      <c r="C8" s="235" t="s">
        <v>177</v>
      </c>
      <c r="D8" s="235">
        <v>2</v>
      </c>
      <c r="E8" s="235">
        <v>3.3000000000000002E-2</v>
      </c>
      <c r="F8" s="235" t="s">
        <v>190</v>
      </c>
      <c r="G8" s="235" t="s">
        <v>191</v>
      </c>
      <c r="H8" s="231"/>
      <c r="I8" s="234">
        <v>5</v>
      </c>
      <c r="J8" s="235" t="s">
        <v>59</v>
      </c>
      <c r="K8" s="235" t="s">
        <v>177</v>
      </c>
      <c r="L8" s="235">
        <v>2</v>
      </c>
      <c r="M8" s="235">
        <v>3.3000000000000002E-2</v>
      </c>
      <c r="N8" s="235" t="s">
        <v>190</v>
      </c>
      <c r="O8" s="235" t="s">
        <v>191</v>
      </c>
      <c r="P8" s="231"/>
    </row>
    <row r="9" spans="1:16" ht="15.75" thickBot="1">
      <c r="A9" s="234">
        <v>6</v>
      </c>
      <c r="B9" s="235" t="s">
        <v>60</v>
      </c>
      <c r="C9" s="235" t="s">
        <v>174</v>
      </c>
      <c r="D9" s="235">
        <v>3</v>
      </c>
      <c r="E9" s="235">
        <v>0.49099999999999999</v>
      </c>
      <c r="F9" s="235" t="s">
        <v>194</v>
      </c>
      <c r="G9" s="235"/>
      <c r="H9" s="231"/>
      <c r="I9" s="234">
        <v>6</v>
      </c>
      <c r="J9" s="235" t="s">
        <v>195</v>
      </c>
      <c r="K9" s="320" t="s">
        <v>196</v>
      </c>
      <c r="L9" s="321"/>
      <c r="M9" s="321"/>
      <c r="N9" s="321"/>
      <c r="O9" s="322"/>
      <c r="P9" s="231"/>
    </row>
    <row r="10" spans="1:16" ht="26.25" thickBot="1">
      <c r="A10" s="234">
        <v>7</v>
      </c>
      <c r="B10" s="235" t="s">
        <v>61</v>
      </c>
      <c r="C10" s="235" t="s">
        <v>177</v>
      </c>
      <c r="D10" s="235">
        <v>2</v>
      </c>
      <c r="E10" s="235">
        <v>3.3000000000000002E-2</v>
      </c>
      <c r="F10" s="235" t="s">
        <v>190</v>
      </c>
      <c r="G10" s="235" t="s">
        <v>197</v>
      </c>
      <c r="H10" s="231"/>
      <c r="I10" s="234">
        <v>7</v>
      </c>
      <c r="J10" s="235" t="s">
        <v>61</v>
      </c>
      <c r="K10" s="323"/>
      <c r="L10" s="324"/>
      <c r="M10" s="324"/>
      <c r="N10" s="324"/>
      <c r="O10" s="325"/>
      <c r="P10" s="231"/>
    </row>
    <row r="11" spans="1:16" ht="64.5" thickBot="1">
      <c r="A11" s="234">
        <v>8</v>
      </c>
      <c r="B11" s="235" t="s">
        <v>62</v>
      </c>
      <c r="C11" s="235" t="s">
        <v>174</v>
      </c>
      <c r="D11" s="237">
        <v>3</v>
      </c>
      <c r="E11" s="235">
        <f>H4+0.691</f>
        <v>0.96399999999999997</v>
      </c>
      <c r="F11" s="235" t="s">
        <v>194</v>
      </c>
      <c r="G11" s="235" t="s">
        <v>178</v>
      </c>
      <c r="H11" s="231"/>
      <c r="I11" s="234">
        <v>8</v>
      </c>
      <c r="J11" s="235" t="s">
        <v>62</v>
      </c>
      <c r="K11" s="235" t="s">
        <v>174</v>
      </c>
      <c r="L11" s="235">
        <v>3</v>
      </c>
      <c r="M11" s="235">
        <f>0.691+H4</f>
        <v>0.96399999999999997</v>
      </c>
      <c r="N11" s="235" t="s">
        <v>194</v>
      </c>
      <c r="O11" s="235" t="s">
        <v>178</v>
      </c>
      <c r="P11" s="231"/>
    </row>
    <row r="12" spans="1:16" ht="26.25" thickBot="1">
      <c r="A12" s="234">
        <v>9</v>
      </c>
      <c r="B12" s="235" t="s">
        <v>63</v>
      </c>
      <c r="C12" s="235" t="s">
        <v>177</v>
      </c>
      <c r="D12" s="235">
        <v>2</v>
      </c>
      <c r="E12" s="235">
        <v>3.3000000000000002E-2</v>
      </c>
      <c r="F12" s="235" t="s">
        <v>190</v>
      </c>
      <c r="G12" s="235" t="s">
        <v>191</v>
      </c>
      <c r="H12" s="231"/>
      <c r="I12" s="234">
        <v>9</v>
      </c>
      <c r="J12" s="235" t="s">
        <v>63</v>
      </c>
      <c r="K12" s="235" t="s">
        <v>177</v>
      </c>
      <c r="L12" s="235">
        <v>2</v>
      </c>
      <c r="M12" s="235">
        <v>3.3000000000000002E-2</v>
      </c>
      <c r="N12" s="235" t="s">
        <v>190</v>
      </c>
      <c r="O12" s="235" t="s">
        <v>191</v>
      </c>
      <c r="P12" s="231"/>
    </row>
    <row r="13" spans="1:16" ht="15.75" thickBot="1">
      <c r="A13" s="234">
        <v>10</v>
      </c>
      <c r="B13" s="235" t="s">
        <v>64</v>
      </c>
      <c r="C13" s="235" t="s">
        <v>174</v>
      </c>
      <c r="D13" s="235">
        <v>1</v>
      </c>
      <c r="E13" s="235">
        <v>0.13100000000000001</v>
      </c>
      <c r="F13" s="235" t="s">
        <v>190</v>
      </c>
      <c r="G13" s="235"/>
      <c r="H13" s="231"/>
      <c r="I13" s="234">
        <v>10</v>
      </c>
      <c r="J13" s="235" t="s">
        <v>64</v>
      </c>
      <c r="K13" s="235" t="s">
        <v>174</v>
      </c>
      <c r="L13" s="235">
        <v>1</v>
      </c>
      <c r="M13" s="235">
        <v>0.13100000000000001</v>
      </c>
      <c r="N13" s="235" t="s">
        <v>190</v>
      </c>
      <c r="O13" s="235"/>
      <c r="P13" s="231"/>
    </row>
    <row r="14" spans="1:16" ht="26.25" thickBot="1">
      <c r="A14" s="234">
        <v>11</v>
      </c>
      <c r="B14" s="235" t="s">
        <v>65</v>
      </c>
      <c r="C14" s="235" t="s">
        <v>174</v>
      </c>
      <c r="D14" s="235">
        <v>1</v>
      </c>
      <c r="E14" s="235">
        <v>0.16400000000000001</v>
      </c>
      <c r="F14" s="235" t="s">
        <v>190</v>
      </c>
      <c r="G14" s="235"/>
      <c r="H14" s="231"/>
      <c r="I14" s="234">
        <v>11</v>
      </c>
      <c r="J14" s="235" t="s">
        <v>65</v>
      </c>
      <c r="K14" s="235" t="s">
        <v>174</v>
      </c>
      <c r="L14" s="235">
        <v>1</v>
      </c>
      <c r="M14" s="235">
        <v>0.16400000000000001</v>
      </c>
      <c r="N14" s="235" t="s">
        <v>190</v>
      </c>
      <c r="O14" s="235"/>
      <c r="P14" s="231"/>
    </row>
    <row r="15" spans="1:16" ht="26.25" thickBot="1">
      <c r="A15" s="234">
        <v>12</v>
      </c>
      <c r="B15" s="235" t="s">
        <v>66</v>
      </c>
      <c r="C15" s="235" t="s">
        <v>177</v>
      </c>
      <c r="D15" s="235">
        <v>2</v>
      </c>
      <c r="E15" s="235">
        <v>1.6E-2</v>
      </c>
      <c r="F15" s="235" t="s">
        <v>190</v>
      </c>
      <c r="G15" s="235" t="s">
        <v>191</v>
      </c>
      <c r="H15" s="231"/>
      <c r="I15" s="234">
        <v>12</v>
      </c>
      <c r="J15" s="235" t="s">
        <v>66</v>
      </c>
      <c r="K15" s="235" t="s">
        <v>177</v>
      </c>
      <c r="L15" s="235">
        <v>2</v>
      </c>
      <c r="M15" s="235">
        <v>1.6E-2</v>
      </c>
      <c r="N15" s="235" t="s">
        <v>190</v>
      </c>
      <c r="O15" s="235" t="s">
        <v>191</v>
      </c>
      <c r="P15" s="231"/>
    </row>
    <row r="16" spans="1:16" ht="15.75" thickBot="1">
      <c r="A16" s="234">
        <v>13</v>
      </c>
      <c r="B16" s="235" t="s">
        <v>67</v>
      </c>
      <c r="C16" s="235" t="s">
        <v>174</v>
      </c>
      <c r="D16" s="235">
        <v>1</v>
      </c>
      <c r="E16" s="235">
        <v>9.8000000000000004E-2</v>
      </c>
      <c r="F16" s="235" t="s">
        <v>190</v>
      </c>
      <c r="G16" s="235"/>
      <c r="H16" s="231"/>
      <c r="I16" s="234">
        <v>13</v>
      </c>
      <c r="J16" s="235" t="s">
        <v>67</v>
      </c>
      <c r="K16" s="235" t="s">
        <v>174</v>
      </c>
      <c r="L16" s="235">
        <v>1</v>
      </c>
      <c r="M16" s="235">
        <v>9.8000000000000004E-2</v>
      </c>
      <c r="N16" s="235" t="s">
        <v>190</v>
      </c>
      <c r="O16" s="235"/>
      <c r="P16" s="231"/>
    </row>
    <row r="17" spans="1:16" ht="15.75" thickBot="1">
      <c r="A17" s="234">
        <v>14</v>
      </c>
      <c r="B17" s="235" t="s">
        <v>68</v>
      </c>
      <c r="C17" s="235" t="s">
        <v>174</v>
      </c>
      <c r="D17" s="235">
        <v>1</v>
      </c>
      <c r="E17" s="235">
        <v>0.16400000000000001</v>
      </c>
      <c r="F17" s="235" t="s">
        <v>190</v>
      </c>
      <c r="G17" s="235"/>
      <c r="H17" s="231"/>
      <c r="I17" s="234">
        <v>14</v>
      </c>
      <c r="J17" s="235" t="s">
        <v>68</v>
      </c>
      <c r="K17" s="235" t="s">
        <v>174</v>
      </c>
      <c r="L17" s="235">
        <v>1</v>
      </c>
      <c r="M17" s="235">
        <v>0.16400000000000001</v>
      </c>
      <c r="N17" s="235" t="s">
        <v>190</v>
      </c>
      <c r="O17" s="235"/>
      <c r="P17" s="231"/>
    </row>
    <row r="18" spans="1:16" ht="26.25" thickBot="1">
      <c r="A18" s="234">
        <v>15</v>
      </c>
      <c r="B18" s="235" t="s">
        <v>69</v>
      </c>
      <c r="C18" s="235" t="s">
        <v>177</v>
      </c>
      <c r="D18" s="235">
        <v>2</v>
      </c>
      <c r="E18" s="235">
        <v>1.6E-2</v>
      </c>
      <c r="F18" s="235" t="s">
        <v>190</v>
      </c>
      <c r="G18" s="235" t="s">
        <v>191</v>
      </c>
      <c r="H18" s="231"/>
      <c r="I18" s="234">
        <v>15</v>
      </c>
      <c r="J18" s="235" t="s">
        <v>69</v>
      </c>
      <c r="K18" s="235" t="s">
        <v>177</v>
      </c>
      <c r="L18" s="235">
        <v>2</v>
      </c>
      <c r="M18" s="235">
        <v>1.6E-2</v>
      </c>
      <c r="N18" s="235" t="s">
        <v>190</v>
      </c>
      <c r="O18" s="235" t="s">
        <v>191</v>
      </c>
      <c r="P18" s="231"/>
    </row>
    <row r="19" spans="1:16" ht="26.25" thickBot="1">
      <c r="A19" s="234">
        <v>16</v>
      </c>
      <c r="B19" s="235" t="s">
        <v>70</v>
      </c>
      <c r="C19" s="235" t="s">
        <v>174</v>
      </c>
      <c r="D19" s="235">
        <v>1</v>
      </c>
      <c r="E19" s="235">
        <v>0.13100000000000001</v>
      </c>
      <c r="F19" s="235" t="s">
        <v>190</v>
      </c>
      <c r="G19" s="235"/>
      <c r="H19" s="231"/>
      <c r="I19" s="234">
        <v>16</v>
      </c>
      <c r="J19" s="235" t="s">
        <v>70</v>
      </c>
      <c r="K19" s="235" t="s">
        <v>174</v>
      </c>
      <c r="L19" s="235">
        <v>1</v>
      </c>
      <c r="M19" s="235">
        <v>0.13100000000000001</v>
      </c>
      <c r="N19" s="235" t="s">
        <v>190</v>
      </c>
      <c r="O19" s="235"/>
      <c r="P19" s="231"/>
    </row>
    <row r="20" spans="1:16" ht="26.25" thickBot="1">
      <c r="A20" s="234">
        <v>17</v>
      </c>
      <c r="B20" s="235" t="s">
        <v>71</v>
      </c>
      <c r="C20" s="235" t="s">
        <v>177</v>
      </c>
      <c r="D20" s="235">
        <v>2</v>
      </c>
      <c r="E20" s="235">
        <v>3.3000000000000002E-2</v>
      </c>
      <c r="F20" s="235" t="s">
        <v>190</v>
      </c>
      <c r="G20" s="235" t="s">
        <v>191</v>
      </c>
      <c r="H20" s="231"/>
      <c r="I20" s="234">
        <v>17</v>
      </c>
      <c r="J20" s="235" t="s">
        <v>71</v>
      </c>
      <c r="K20" s="235" t="s">
        <v>177</v>
      </c>
      <c r="L20" s="235">
        <v>2</v>
      </c>
      <c r="M20" s="235">
        <v>3.3000000000000002E-2</v>
      </c>
      <c r="N20" s="235" t="s">
        <v>190</v>
      </c>
      <c r="O20" s="235" t="s">
        <v>191</v>
      </c>
      <c r="P20" s="231"/>
    </row>
    <row r="21" spans="1:16" ht="15.75" thickBot="1">
      <c r="A21" s="234">
        <v>18</v>
      </c>
      <c r="B21" s="235" t="s">
        <v>198</v>
      </c>
      <c r="C21" s="235" t="s">
        <v>174</v>
      </c>
      <c r="D21" s="235">
        <v>2</v>
      </c>
      <c r="E21" s="235">
        <v>6.4000000000000001E-2</v>
      </c>
      <c r="F21" s="235" t="s">
        <v>190</v>
      </c>
      <c r="G21" s="235"/>
      <c r="H21" s="231"/>
      <c r="I21" s="234">
        <v>18</v>
      </c>
      <c r="J21" s="235" t="s">
        <v>198</v>
      </c>
      <c r="K21" s="235" t="s">
        <v>174</v>
      </c>
      <c r="L21" s="235">
        <v>2</v>
      </c>
      <c r="M21" s="235">
        <v>6.4000000000000001E-2</v>
      </c>
      <c r="N21" s="235" t="s">
        <v>190</v>
      </c>
      <c r="O21" s="235"/>
      <c r="P21" s="231"/>
    </row>
    <row r="22" spans="1:16" ht="15.75" thickBot="1">
      <c r="A22" s="234">
        <v>19</v>
      </c>
      <c r="B22" s="235" t="s">
        <v>72</v>
      </c>
      <c r="C22" s="235" t="s">
        <v>174</v>
      </c>
      <c r="D22" s="235">
        <v>2</v>
      </c>
      <c r="E22" s="235">
        <v>0.19600000000000001</v>
      </c>
      <c r="F22" s="235" t="s">
        <v>190</v>
      </c>
      <c r="G22" s="235"/>
      <c r="H22" s="231"/>
      <c r="I22" s="234">
        <v>19</v>
      </c>
      <c r="J22" s="235" t="s">
        <v>72</v>
      </c>
      <c r="K22" s="235" t="s">
        <v>174</v>
      </c>
      <c r="L22" s="235">
        <v>2</v>
      </c>
      <c r="M22" s="235">
        <v>0.19600000000000001</v>
      </c>
      <c r="N22" s="235" t="s">
        <v>190</v>
      </c>
      <c r="O22" s="235"/>
      <c r="P22" s="231"/>
    </row>
    <row r="23" spans="1:16" ht="26.25" thickBot="1">
      <c r="A23" s="234">
        <v>20</v>
      </c>
      <c r="B23" s="235" t="s">
        <v>84</v>
      </c>
      <c r="C23" s="235" t="s">
        <v>177</v>
      </c>
      <c r="D23" s="235">
        <v>2</v>
      </c>
      <c r="E23" s="235">
        <v>3.3000000000000002E-2</v>
      </c>
      <c r="F23" s="235"/>
      <c r="G23" s="235" t="s">
        <v>191</v>
      </c>
      <c r="H23" s="231"/>
      <c r="I23" s="234">
        <v>20</v>
      </c>
      <c r="J23" s="235" t="s">
        <v>84</v>
      </c>
      <c r="K23" s="235" t="s">
        <v>177</v>
      </c>
      <c r="L23" s="235">
        <v>2</v>
      </c>
      <c r="M23" s="235">
        <v>3.3000000000000002E-2</v>
      </c>
      <c r="N23" s="235"/>
      <c r="O23" s="235" t="s">
        <v>191</v>
      </c>
      <c r="P23" s="231"/>
    </row>
    <row r="24" spans="1:16" ht="15.75" thickBot="1">
      <c r="A24" s="234">
        <v>21</v>
      </c>
      <c r="B24" s="235" t="s">
        <v>73</v>
      </c>
      <c r="C24" s="235" t="s">
        <v>174</v>
      </c>
      <c r="D24" s="235">
        <v>1</v>
      </c>
      <c r="E24" s="235">
        <v>0.14599999999999999</v>
      </c>
      <c r="F24" s="235" t="s">
        <v>190</v>
      </c>
      <c r="G24" s="235"/>
      <c r="H24" s="231"/>
      <c r="I24" s="234">
        <v>21</v>
      </c>
      <c r="J24" s="235" t="s">
        <v>73</v>
      </c>
      <c r="K24" s="235" t="s">
        <v>174</v>
      </c>
      <c r="L24" s="235">
        <v>1</v>
      </c>
      <c r="M24" s="235">
        <v>0.14599999999999999</v>
      </c>
      <c r="N24" s="235" t="s">
        <v>190</v>
      </c>
      <c r="O24" s="235"/>
      <c r="P24" s="231"/>
    </row>
    <row r="25" spans="1:16" ht="15.75" thickBot="1">
      <c r="A25" s="234">
        <v>22</v>
      </c>
      <c r="B25" s="235" t="s">
        <v>74</v>
      </c>
      <c r="C25" s="235" t="s">
        <v>177</v>
      </c>
      <c r="D25" s="235">
        <v>1</v>
      </c>
      <c r="E25" s="235">
        <v>0.16400000000000001</v>
      </c>
      <c r="F25" s="235" t="s">
        <v>190</v>
      </c>
      <c r="G25" s="235"/>
      <c r="H25" s="231"/>
      <c r="I25" s="234">
        <v>22</v>
      </c>
      <c r="J25" s="235" t="s">
        <v>74</v>
      </c>
      <c r="K25" s="235" t="s">
        <v>177</v>
      </c>
      <c r="L25" s="235">
        <v>1</v>
      </c>
      <c r="M25" s="235">
        <v>0.16400000000000001</v>
      </c>
      <c r="N25" s="235" t="s">
        <v>190</v>
      </c>
      <c r="O25" s="235"/>
      <c r="P25" s="231"/>
    </row>
    <row r="26" spans="1:16" ht="39" thickBot="1">
      <c r="A26" s="234">
        <v>23</v>
      </c>
      <c r="B26" s="235" t="s">
        <v>75</v>
      </c>
      <c r="C26" s="235" t="s">
        <v>174</v>
      </c>
      <c r="D26" s="235">
        <v>1</v>
      </c>
      <c r="E26" s="235">
        <v>4.9000000000000002E-2</v>
      </c>
      <c r="F26" s="235" t="s">
        <v>190</v>
      </c>
      <c r="G26" s="235"/>
      <c r="H26" s="231"/>
      <c r="I26" s="234">
        <v>23</v>
      </c>
      <c r="J26" s="235" t="s">
        <v>75</v>
      </c>
      <c r="K26" s="235" t="s">
        <v>174</v>
      </c>
      <c r="L26" s="235">
        <v>1</v>
      </c>
      <c r="M26" s="235">
        <v>4.9000000000000002E-2</v>
      </c>
      <c r="N26" s="235" t="s">
        <v>190</v>
      </c>
      <c r="O26" s="235"/>
      <c r="P26" s="231"/>
    </row>
    <row r="27" spans="1:16" ht="15.75" thickBot="1">
      <c r="A27" s="234">
        <v>24</v>
      </c>
      <c r="B27" s="235" t="s">
        <v>76</v>
      </c>
      <c r="C27" s="235" t="s">
        <v>199</v>
      </c>
      <c r="D27" s="235">
        <v>1</v>
      </c>
      <c r="E27" s="235">
        <v>9.8000000000000004E-2</v>
      </c>
      <c r="F27" s="235" t="s">
        <v>190</v>
      </c>
      <c r="G27" s="235"/>
      <c r="H27" s="231"/>
      <c r="I27" s="234">
        <v>24</v>
      </c>
      <c r="J27" s="235" t="s">
        <v>76</v>
      </c>
      <c r="K27" s="235" t="s">
        <v>199</v>
      </c>
      <c r="L27" s="235">
        <v>1</v>
      </c>
      <c r="M27" s="235">
        <v>9.8000000000000004E-2</v>
      </c>
      <c r="N27" s="235" t="s">
        <v>190</v>
      </c>
      <c r="O27" s="235"/>
      <c r="P27" s="231"/>
    </row>
    <row r="28" spans="1:16" ht="15.75" thickBot="1">
      <c r="A28" s="234">
        <v>25</v>
      </c>
      <c r="B28" s="235" t="s">
        <v>77</v>
      </c>
      <c r="C28" s="235" t="s">
        <v>106</v>
      </c>
      <c r="D28" s="235">
        <v>2</v>
      </c>
      <c r="E28" s="235">
        <v>0.13100000000000001</v>
      </c>
      <c r="F28" s="235" t="s">
        <v>190</v>
      </c>
      <c r="G28" s="235"/>
      <c r="H28" s="231"/>
      <c r="I28" s="234">
        <v>25</v>
      </c>
      <c r="J28" s="235" t="s">
        <v>77</v>
      </c>
      <c r="K28" s="235" t="s">
        <v>106</v>
      </c>
      <c r="L28" s="235">
        <v>2</v>
      </c>
      <c r="M28" s="235">
        <v>0.13100000000000001</v>
      </c>
      <c r="N28" s="235" t="s">
        <v>190</v>
      </c>
      <c r="O28" s="235"/>
      <c r="P28" s="231"/>
    </row>
    <row r="29" spans="1:16" ht="26.25" thickBot="1">
      <c r="A29" s="234">
        <v>26</v>
      </c>
      <c r="B29" s="238" t="s">
        <v>78</v>
      </c>
      <c r="C29" s="235"/>
      <c r="D29" s="235">
        <v>1</v>
      </c>
      <c r="E29" s="235">
        <v>0.49099999999999999</v>
      </c>
      <c r="F29" s="235" t="s">
        <v>190</v>
      </c>
      <c r="G29" s="235"/>
      <c r="H29" s="231"/>
      <c r="I29" s="234">
        <v>26</v>
      </c>
      <c r="J29" s="238" t="s">
        <v>78</v>
      </c>
      <c r="K29" s="235"/>
      <c r="L29" s="235">
        <v>1</v>
      </c>
      <c r="M29" s="235">
        <v>0.49099999999999999</v>
      </c>
      <c r="N29" s="235" t="s">
        <v>190</v>
      </c>
      <c r="O29" s="235"/>
      <c r="P29" s="231">
        <f>M29*(10^6)*73.3</f>
        <v>35990300</v>
      </c>
    </row>
    <row r="30" spans="1:16" ht="26.25" thickBot="1">
      <c r="A30" s="234">
        <v>27</v>
      </c>
      <c r="B30" s="238" t="s">
        <v>248</v>
      </c>
      <c r="C30" s="235"/>
      <c r="D30" s="235">
        <v>2</v>
      </c>
      <c r="E30" s="235">
        <v>1.36</v>
      </c>
      <c r="F30" s="235"/>
      <c r="G30" s="235" t="s">
        <v>197</v>
      </c>
      <c r="H30" s="231"/>
      <c r="I30" s="234">
        <v>27</v>
      </c>
      <c r="J30" s="238"/>
      <c r="K30" s="235"/>
      <c r="L30" s="235"/>
      <c r="M30" s="235">
        <v>1.36</v>
      </c>
      <c r="N30" s="235"/>
      <c r="O30" s="235"/>
      <c r="P30" s="231"/>
    </row>
    <row r="31" spans="1:16" ht="15.75" thickBot="1">
      <c r="A31" s="239"/>
      <c r="B31" s="240" t="s">
        <v>6</v>
      </c>
      <c r="C31" s="241"/>
      <c r="D31" s="242"/>
      <c r="E31" s="241">
        <f>SUM(E4:E30)</f>
        <v>5.367</v>
      </c>
      <c r="F31" s="241"/>
      <c r="G31" s="241"/>
      <c r="H31" s="231"/>
      <c r="I31" s="239"/>
      <c r="J31" s="240" t="s">
        <v>6</v>
      </c>
      <c r="K31" s="241"/>
      <c r="L31" s="242"/>
      <c r="M31" s="241">
        <f>SUM(M11:M30,M4:M8)</f>
        <v>4.8430000000000009</v>
      </c>
      <c r="N31" s="241"/>
      <c r="O31" s="241"/>
      <c r="P31" s="231"/>
    </row>
    <row r="32" spans="1:16" ht="15.75" thickBot="1">
      <c r="A32" s="243">
        <v>1.2</v>
      </c>
      <c r="B32" s="238" t="s">
        <v>79</v>
      </c>
      <c r="C32" s="235"/>
      <c r="D32" s="235"/>
      <c r="E32" s="235"/>
      <c r="F32" s="235"/>
      <c r="G32" s="235"/>
      <c r="H32" s="231"/>
      <c r="I32" s="243">
        <v>1.2</v>
      </c>
      <c r="J32" s="238" t="s">
        <v>79</v>
      </c>
      <c r="K32" s="235"/>
      <c r="L32" s="235"/>
      <c r="M32" s="235"/>
      <c r="N32" s="235"/>
      <c r="O32" s="235"/>
      <c r="P32" s="231"/>
    </row>
    <row r="33" spans="1:16" ht="15.75" thickBot="1">
      <c r="A33" s="243">
        <v>1</v>
      </c>
      <c r="B33" s="238" t="s">
        <v>80</v>
      </c>
      <c r="C33" s="235" t="s">
        <v>200</v>
      </c>
      <c r="D33" s="235">
        <v>2</v>
      </c>
      <c r="E33" s="235">
        <v>0.32700000000000001</v>
      </c>
      <c r="F33" s="235" t="s">
        <v>190</v>
      </c>
      <c r="G33" s="235"/>
      <c r="H33" s="231"/>
      <c r="I33" s="243">
        <v>1</v>
      </c>
      <c r="J33" s="238" t="s">
        <v>80</v>
      </c>
      <c r="K33" s="235" t="s">
        <v>200</v>
      </c>
      <c r="L33" s="235">
        <v>2</v>
      </c>
      <c r="M33" s="235">
        <v>0.32700000000000001</v>
      </c>
      <c r="N33" s="235" t="s">
        <v>190</v>
      </c>
      <c r="O33" s="235"/>
      <c r="P33" s="231"/>
    </row>
    <row r="34" spans="1:16" ht="15.75" thickBot="1">
      <c r="A34" s="243">
        <v>2</v>
      </c>
      <c r="B34" s="238" t="s">
        <v>82</v>
      </c>
      <c r="C34" s="235" t="s">
        <v>201</v>
      </c>
      <c r="D34" s="235">
        <v>1</v>
      </c>
      <c r="E34" s="235">
        <v>0.14699999999999999</v>
      </c>
      <c r="F34" s="235" t="s">
        <v>190</v>
      </c>
      <c r="G34" s="235"/>
      <c r="H34" s="231"/>
      <c r="I34" s="243">
        <v>2</v>
      </c>
      <c r="J34" s="238" t="s">
        <v>82</v>
      </c>
      <c r="K34" s="235" t="s">
        <v>201</v>
      </c>
      <c r="L34" s="235">
        <v>1</v>
      </c>
      <c r="M34" s="235">
        <v>0.14699999999999999</v>
      </c>
      <c r="N34" s="235" t="s">
        <v>190</v>
      </c>
      <c r="O34" s="235"/>
      <c r="P34" s="231"/>
    </row>
    <row r="35" spans="1:16" ht="15.75" thickBot="1">
      <c r="A35" s="234">
        <v>3</v>
      </c>
      <c r="B35" s="235" t="s">
        <v>202</v>
      </c>
      <c r="C35" s="235" t="s">
        <v>100</v>
      </c>
      <c r="D35" s="235">
        <v>1</v>
      </c>
      <c r="E35" s="235">
        <v>4.1000000000000002E-2</v>
      </c>
      <c r="F35" s="235" t="s">
        <v>190</v>
      </c>
      <c r="G35" s="235"/>
      <c r="H35" s="231"/>
      <c r="I35" s="234">
        <v>3</v>
      </c>
      <c r="J35" s="235" t="s">
        <v>202</v>
      </c>
      <c r="K35" s="235" t="s">
        <v>100</v>
      </c>
      <c r="L35" s="235">
        <v>1</v>
      </c>
      <c r="M35" s="235">
        <v>4.1000000000000002E-2</v>
      </c>
      <c r="N35" s="235" t="s">
        <v>190</v>
      </c>
      <c r="O35" s="235"/>
      <c r="P35" s="231"/>
    </row>
    <row r="36" spans="1:16" ht="39" thickBot="1">
      <c r="A36" s="234">
        <v>4</v>
      </c>
      <c r="B36" s="235" t="s">
        <v>84</v>
      </c>
      <c r="C36" s="235" t="s">
        <v>203</v>
      </c>
      <c r="D36" s="235">
        <v>4</v>
      </c>
      <c r="E36" s="235">
        <v>0.02</v>
      </c>
      <c r="F36" s="235" t="s">
        <v>190</v>
      </c>
      <c r="G36" s="235" t="s">
        <v>83</v>
      </c>
      <c r="H36" s="231"/>
      <c r="I36" s="234">
        <v>4</v>
      </c>
      <c r="J36" s="235" t="s">
        <v>84</v>
      </c>
      <c r="K36" s="235" t="s">
        <v>203</v>
      </c>
      <c r="L36" s="235">
        <v>4</v>
      </c>
      <c r="M36" s="235">
        <v>0.02</v>
      </c>
      <c r="N36" s="235" t="s">
        <v>190</v>
      </c>
      <c r="O36" s="235" t="s">
        <v>83</v>
      </c>
      <c r="P36" s="231"/>
    </row>
    <row r="37" spans="1:16" ht="15.75" thickBot="1">
      <c r="A37" s="243">
        <v>5</v>
      </c>
      <c r="B37" s="235" t="s">
        <v>86</v>
      </c>
      <c r="C37" s="235" t="s">
        <v>204</v>
      </c>
      <c r="D37" s="235">
        <v>1</v>
      </c>
      <c r="E37" s="235">
        <v>4.1000000000000002E-2</v>
      </c>
      <c r="F37" s="235" t="s">
        <v>190</v>
      </c>
      <c r="G37" s="235"/>
      <c r="H37" s="231"/>
      <c r="I37" s="234">
        <v>5</v>
      </c>
      <c r="J37" s="235" t="s">
        <v>86</v>
      </c>
      <c r="K37" s="235" t="s">
        <v>204</v>
      </c>
      <c r="L37" s="235">
        <v>1</v>
      </c>
      <c r="M37" s="235">
        <v>4.1000000000000002E-2</v>
      </c>
      <c r="N37" s="235" t="s">
        <v>190</v>
      </c>
      <c r="O37" s="235"/>
      <c r="P37" s="231"/>
    </row>
    <row r="38" spans="1:16" ht="15.75" thickBot="1">
      <c r="A38" s="243">
        <v>6</v>
      </c>
      <c r="B38" s="235" t="s">
        <v>87</v>
      </c>
      <c r="C38" s="235" t="s">
        <v>101</v>
      </c>
      <c r="D38" s="235">
        <v>1</v>
      </c>
      <c r="E38" s="235">
        <v>2.5000000000000001E-2</v>
      </c>
      <c r="F38" s="235" t="s">
        <v>190</v>
      </c>
      <c r="G38" s="235"/>
      <c r="H38" s="231"/>
      <c r="I38" s="234">
        <v>6</v>
      </c>
      <c r="J38" s="235" t="s">
        <v>87</v>
      </c>
      <c r="K38" s="235" t="s">
        <v>101</v>
      </c>
      <c r="L38" s="235">
        <v>1</v>
      </c>
      <c r="M38" s="235">
        <v>2.5000000000000001E-2</v>
      </c>
      <c r="N38" s="235" t="s">
        <v>190</v>
      </c>
      <c r="O38" s="235"/>
      <c r="P38" s="231"/>
    </row>
    <row r="39" spans="1:16" ht="15.75" thickBot="1">
      <c r="A39" s="234">
        <v>7</v>
      </c>
      <c r="B39" s="235" t="s">
        <v>88</v>
      </c>
      <c r="C39" s="235" t="s">
        <v>205</v>
      </c>
      <c r="D39" s="235">
        <v>1</v>
      </c>
      <c r="E39" s="235">
        <v>0.02</v>
      </c>
      <c r="F39" s="235" t="s">
        <v>190</v>
      </c>
      <c r="G39" s="235"/>
      <c r="H39" s="231"/>
      <c r="I39" s="234">
        <v>7</v>
      </c>
      <c r="J39" s="235" t="s">
        <v>88</v>
      </c>
      <c r="K39" s="235" t="s">
        <v>205</v>
      </c>
      <c r="L39" s="235">
        <v>1</v>
      </c>
      <c r="M39" s="235">
        <v>0.02</v>
      </c>
      <c r="N39" s="235" t="s">
        <v>190</v>
      </c>
      <c r="O39" s="235"/>
      <c r="P39" s="231"/>
    </row>
    <row r="40" spans="1:16" ht="21.75" customHeight="1" thickBot="1">
      <c r="A40" s="234">
        <v>8</v>
      </c>
      <c r="B40" s="235" t="s">
        <v>62</v>
      </c>
      <c r="C40" s="235" t="s">
        <v>206</v>
      </c>
      <c r="D40" s="235">
        <v>1</v>
      </c>
      <c r="E40" s="235">
        <v>0.4</v>
      </c>
      <c r="F40" s="235" t="s">
        <v>194</v>
      </c>
      <c r="G40" s="235"/>
      <c r="H40" s="231"/>
      <c r="I40" s="234">
        <v>8</v>
      </c>
      <c r="J40" s="235" t="s">
        <v>62</v>
      </c>
      <c r="K40" s="235" t="s">
        <v>206</v>
      </c>
      <c r="L40" s="235">
        <v>1</v>
      </c>
      <c r="M40" s="235">
        <v>0.4</v>
      </c>
      <c r="N40" s="235" t="s">
        <v>194</v>
      </c>
      <c r="O40" s="235"/>
      <c r="P40" s="231"/>
    </row>
    <row r="41" spans="1:16" ht="15.75" thickBot="1">
      <c r="A41" s="243">
        <v>9</v>
      </c>
      <c r="B41" s="235" t="s">
        <v>89</v>
      </c>
      <c r="C41" s="235" t="s">
        <v>207</v>
      </c>
      <c r="D41" s="235">
        <v>1</v>
      </c>
      <c r="E41" s="235">
        <v>0.02</v>
      </c>
      <c r="F41" s="235" t="s">
        <v>190</v>
      </c>
      <c r="G41" s="235"/>
      <c r="H41" s="231"/>
      <c r="I41" s="234">
        <v>9</v>
      </c>
      <c r="J41" s="235" t="s">
        <v>89</v>
      </c>
      <c r="K41" s="235" t="s">
        <v>207</v>
      </c>
      <c r="L41" s="235">
        <v>1</v>
      </c>
      <c r="M41" s="235">
        <v>0.02</v>
      </c>
      <c r="N41" s="235" t="s">
        <v>190</v>
      </c>
      <c r="O41" s="235"/>
      <c r="P41" s="231"/>
    </row>
    <row r="42" spans="1:16" ht="15.75" thickBot="1">
      <c r="A42" s="243">
        <v>10</v>
      </c>
      <c r="B42" s="235" t="s">
        <v>202</v>
      </c>
      <c r="C42" s="235" t="s">
        <v>208</v>
      </c>
      <c r="D42" s="235">
        <v>1</v>
      </c>
      <c r="E42" s="235">
        <v>3.3000000000000002E-2</v>
      </c>
      <c r="F42" s="235" t="s">
        <v>190</v>
      </c>
      <c r="G42" s="235"/>
      <c r="H42" s="231"/>
      <c r="I42" s="234">
        <v>10</v>
      </c>
      <c r="J42" s="235" t="s">
        <v>202</v>
      </c>
      <c r="K42" s="235" t="s">
        <v>208</v>
      </c>
      <c r="L42" s="235">
        <v>1</v>
      </c>
      <c r="M42" s="235">
        <v>3.3000000000000002E-2</v>
      </c>
      <c r="N42" s="235" t="s">
        <v>190</v>
      </c>
      <c r="O42" s="235"/>
      <c r="P42" s="231"/>
    </row>
    <row r="43" spans="1:16" ht="15.75" thickBot="1">
      <c r="A43" s="234">
        <v>11</v>
      </c>
      <c r="B43" s="235" t="s">
        <v>62</v>
      </c>
      <c r="C43" s="235" t="s">
        <v>209</v>
      </c>
      <c r="D43" s="235">
        <v>1</v>
      </c>
      <c r="E43" s="235">
        <v>0.4</v>
      </c>
      <c r="F43" s="235" t="s">
        <v>194</v>
      </c>
      <c r="G43" s="235"/>
      <c r="H43" s="231"/>
      <c r="I43" s="234">
        <v>11</v>
      </c>
      <c r="J43" s="235" t="s">
        <v>62</v>
      </c>
      <c r="K43" s="235" t="s">
        <v>209</v>
      </c>
      <c r="L43" s="235">
        <v>1</v>
      </c>
      <c r="M43" s="235">
        <v>0.4</v>
      </c>
      <c r="N43" s="235" t="s">
        <v>194</v>
      </c>
      <c r="O43" s="235"/>
      <c r="P43" s="231"/>
    </row>
    <row r="44" spans="1:16" ht="15.75" thickBot="1">
      <c r="A44" s="234">
        <v>12</v>
      </c>
      <c r="B44" s="235" t="s">
        <v>202</v>
      </c>
      <c r="C44" s="235" t="s">
        <v>208</v>
      </c>
      <c r="D44" s="235">
        <v>1</v>
      </c>
      <c r="E44" s="235">
        <v>4.9000000000000002E-2</v>
      </c>
      <c r="F44" s="235" t="s">
        <v>190</v>
      </c>
      <c r="G44" s="235"/>
      <c r="H44" s="231"/>
      <c r="I44" s="234">
        <v>12</v>
      </c>
      <c r="J44" s="235" t="s">
        <v>202</v>
      </c>
      <c r="K44" s="235" t="s">
        <v>208</v>
      </c>
      <c r="L44" s="235">
        <v>1</v>
      </c>
      <c r="M44" s="235">
        <v>4.9000000000000002E-2</v>
      </c>
      <c r="N44" s="235" t="s">
        <v>190</v>
      </c>
      <c r="O44" s="235"/>
      <c r="P44" s="231"/>
    </row>
    <row r="45" spans="1:16" ht="15.75" thickBot="1">
      <c r="A45" s="243">
        <v>13</v>
      </c>
      <c r="B45" s="235" t="s">
        <v>90</v>
      </c>
      <c r="C45" s="235" t="s">
        <v>102</v>
      </c>
      <c r="D45" s="235">
        <v>1</v>
      </c>
      <c r="E45" s="235">
        <v>3.0000000000000001E-3</v>
      </c>
      <c r="F45" s="235" t="s">
        <v>190</v>
      </c>
      <c r="G45" s="235"/>
      <c r="H45" s="231"/>
      <c r="I45" s="234">
        <v>13</v>
      </c>
      <c r="J45" s="235" t="s">
        <v>90</v>
      </c>
      <c r="K45" s="235" t="s">
        <v>102</v>
      </c>
      <c r="L45" s="235">
        <v>1</v>
      </c>
      <c r="M45" s="235">
        <v>3.0000000000000001E-3</v>
      </c>
      <c r="N45" s="235" t="s">
        <v>190</v>
      </c>
      <c r="O45" s="235"/>
      <c r="P45" s="231"/>
    </row>
    <row r="46" spans="1:16" ht="15.75" thickBot="1">
      <c r="A46" s="243">
        <v>14</v>
      </c>
      <c r="B46" s="235" t="s">
        <v>91</v>
      </c>
      <c r="C46" s="235" t="s">
        <v>210</v>
      </c>
      <c r="D46" s="235">
        <v>1</v>
      </c>
      <c r="E46" s="235">
        <v>1.6E-2</v>
      </c>
      <c r="F46" s="235" t="s">
        <v>190</v>
      </c>
      <c r="G46" s="235"/>
      <c r="H46" s="231"/>
      <c r="I46" s="234">
        <v>14</v>
      </c>
      <c r="J46" s="235" t="s">
        <v>91</v>
      </c>
      <c r="K46" s="235" t="s">
        <v>210</v>
      </c>
      <c r="L46" s="235">
        <v>1</v>
      </c>
      <c r="M46" s="235">
        <v>1.6E-2</v>
      </c>
      <c r="N46" s="235" t="s">
        <v>190</v>
      </c>
      <c r="O46" s="235"/>
      <c r="P46" s="231"/>
    </row>
    <row r="47" spans="1:16" ht="15.75" thickBot="1">
      <c r="A47" s="234">
        <v>15</v>
      </c>
      <c r="B47" s="235" t="s">
        <v>62</v>
      </c>
      <c r="C47" s="235" t="s">
        <v>211</v>
      </c>
      <c r="D47" s="235">
        <v>1</v>
      </c>
      <c r="E47" s="235">
        <v>0.4</v>
      </c>
      <c r="F47" s="235" t="s">
        <v>194</v>
      </c>
      <c r="G47" s="235"/>
      <c r="H47" s="231"/>
      <c r="I47" s="234">
        <v>15</v>
      </c>
      <c r="J47" s="235" t="s">
        <v>62</v>
      </c>
      <c r="K47" s="235" t="s">
        <v>211</v>
      </c>
      <c r="L47" s="235">
        <v>1</v>
      </c>
      <c r="M47" s="235">
        <v>0.4</v>
      </c>
      <c r="N47" s="235" t="s">
        <v>194</v>
      </c>
      <c r="O47" s="235"/>
      <c r="P47" s="231"/>
    </row>
    <row r="48" spans="1:16" ht="15.75" thickBot="1">
      <c r="A48" s="234">
        <v>16</v>
      </c>
      <c r="B48" s="235" t="s">
        <v>92</v>
      </c>
      <c r="C48" s="235" t="s">
        <v>207</v>
      </c>
      <c r="D48" s="235">
        <v>1</v>
      </c>
      <c r="E48" s="235">
        <v>5.0000000000000001E-3</v>
      </c>
      <c r="F48" s="235" t="s">
        <v>190</v>
      </c>
      <c r="G48" s="235"/>
      <c r="H48" s="231"/>
      <c r="I48" s="234">
        <v>16</v>
      </c>
      <c r="J48" s="235" t="s">
        <v>92</v>
      </c>
      <c r="K48" s="235" t="s">
        <v>207</v>
      </c>
      <c r="L48" s="235">
        <v>1</v>
      </c>
      <c r="M48" s="235">
        <v>5.0000000000000001E-3</v>
      </c>
      <c r="N48" s="235" t="s">
        <v>190</v>
      </c>
      <c r="O48" s="235"/>
      <c r="P48" s="231"/>
    </row>
    <row r="49" spans="1:16" ht="15.75" thickBot="1">
      <c r="A49" s="243">
        <v>17</v>
      </c>
      <c r="B49" s="235" t="s">
        <v>202</v>
      </c>
      <c r="C49" s="235" t="s">
        <v>208</v>
      </c>
      <c r="D49" s="235">
        <v>1</v>
      </c>
      <c r="E49" s="235">
        <v>4.9000000000000002E-2</v>
      </c>
      <c r="F49" s="235" t="s">
        <v>190</v>
      </c>
      <c r="G49" s="235"/>
      <c r="H49" s="231"/>
      <c r="I49" s="234">
        <v>17</v>
      </c>
      <c r="J49" s="235" t="s">
        <v>202</v>
      </c>
      <c r="K49" s="235" t="s">
        <v>208</v>
      </c>
      <c r="L49" s="235">
        <v>1</v>
      </c>
      <c r="M49" s="235">
        <v>4.9000000000000002E-2</v>
      </c>
      <c r="N49" s="235" t="s">
        <v>190</v>
      </c>
      <c r="O49" s="235"/>
      <c r="P49" s="231"/>
    </row>
    <row r="50" spans="1:16" ht="15.75" thickBot="1">
      <c r="A50" s="243">
        <v>18</v>
      </c>
      <c r="B50" s="235" t="s">
        <v>93</v>
      </c>
      <c r="C50" s="235" t="s">
        <v>210</v>
      </c>
      <c r="D50" s="235">
        <v>1</v>
      </c>
      <c r="E50" s="235">
        <v>1.6E-2</v>
      </c>
      <c r="F50" s="235" t="s">
        <v>190</v>
      </c>
      <c r="G50" s="235"/>
      <c r="H50" s="231"/>
      <c r="I50" s="234">
        <v>18</v>
      </c>
      <c r="J50" s="235" t="s">
        <v>93</v>
      </c>
      <c r="K50" s="235" t="s">
        <v>210</v>
      </c>
      <c r="L50" s="235">
        <v>1</v>
      </c>
      <c r="M50" s="235">
        <v>1.6E-2</v>
      </c>
      <c r="N50" s="235" t="s">
        <v>190</v>
      </c>
      <c r="O50" s="235"/>
      <c r="P50" s="231"/>
    </row>
    <row r="51" spans="1:16" ht="15.75" thickBot="1">
      <c r="A51" s="234">
        <v>19</v>
      </c>
      <c r="B51" s="235" t="s">
        <v>94</v>
      </c>
      <c r="C51" s="235" t="s">
        <v>212</v>
      </c>
      <c r="D51" s="235">
        <v>1</v>
      </c>
      <c r="E51" s="235">
        <v>0.32700000000000001</v>
      </c>
      <c r="F51" s="235" t="s">
        <v>194</v>
      </c>
      <c r="G51" s="235"/>
      <c r="H51" s="231"/>
      <c r="I51" s="234">
        <v>19</v>
      </c>
      <c r="J51" s="235" t="s">
        <v>94</v>
      </c>
      <c r="K51" s="235" t="s">
        <v>212</v>
      </c>
      <c r="L51" s="235">
        <v>1</v>
      </c>
      <c r="M51" s="235">
        <v>0.32700000000000001</v>
      </c>
      <c r="N51" s="235" t="s">
        <v>194</v>
      </c>
      <c r="O51" s="235"/>
      <c r="P51" s="231"/>
    </row>
    <row r="52" spans="1:16" ht="15.75" thickBot="1">
      <c r="A52" s="234">
        <v>20</v>
      </c>
      <c r="B52" s="235" t="s">
        <v>202</v>
      </c>
      <c r="C52" s="235" t="s">
        <v>213</v>
      </c>
      <c r="D52" s="235">
        <v>1</v>
      </c>
      <c r="E52" s="235">
        <v>6.5000000000000002E-2</v>
      </c>
      <c r="F52" s="235" t="s">
        <v>190</v>
      </c>
      <c r="G52" s="235"/>
      <c r="H52" s="231"/>
      <c r="I52" s="234">
        <v>20</v>
      </c>
      <c r="J52" s="235" t="s">
        <v>202</v>
      </c>
      <c r="K52" s="235" t="s">
        <v>213</v>
      </c>
      <c r="L52" s="235">
        <v>1</v>
      </c>
      <c r="M52" s="235">
        <v>6.5000000000000002E-2</v>
      </c>
      <c r="N52" s="235" t="s">
        <v>190</v>
      </c>
      <c r="O52" s="235"/>
      <c r="P52" s="231"/>
    </row>
    <row r="53" spans="1:16" ht="15.75" thickBot="1">
      <c r="A53" s="243">
        <v>21</v>
      </c>
      <c r="B53" s="235" t="s">
        <v>95</v>
      </c>
      <c r="C53" s="235" t="s">
        <v>214</v>
      </c>
      <c r="D53" s="235">
        <v>1</v>
      </c>
      <c r="E53" s="235">
        <v>1.6E-2</v>
      </c>
      <c r="F53" s="235" t="s">
        <v>190</v>
      </c>
      <c r="G53" s="235"/>
      <c r="H53" s="231"/>
      <c r="I53" s="234">
        <v>21</v>
      </c>
      <c r="J53" s="235" t="s">
        <v>95</v>
      </c>
      <c r="K53" s="235" t="s">
        <v>214</v>
      </c>
      <c r="L53" s="235">
        <v>1</v>
      </c>
      <c r="M53" s="235">
        <v>1.6E-2</v>
      </c>
      <c r="N53" s="235" t="s">
        <v>190</v>
      </c>
      <c r="O53" s="235"/>
      <c r="P53" s="231"/>
    </row>
    <row r="54" spans="1:16" ht="26.25" thickBot="1">
      <c r="A54" s="243">
        <v>22</v>
      </c>
      <c r="B54" s="235" t="s">
        <v>103</v>
      </c>
      <c r="C54" s="235" t="s">
        <v>104</v>
      </c>
      <c r="D54" s="235">
        <v>1</v>
      </c>
      <c r="E54" s="235">
        <v>3.3000000000000002E-2</v>
      </c>
      <c r="F54" s="235" t="s">
        <v>190</v>
      </c>
      <c r="G54" s="235"/>
      <c r="H54" s="231"/>
      <c r="I54" s="234">
        <v>22</v>
      </c>
      <c r="J54" s="235" t="s">
        <v>103</v>
      </c>
      <c r="K54" s="235" t="s">
        <v>104</v>
      </c>
      <c r="L54" s="235">
        <v>1</v>
      </c>
      <c r="M54" s="235">
        <v>3.3000000000000002E-2</v>
      </c>
      <c r="N54" s="235" t="s">
        <v>190</v>
      </c>
      <c r="O54" s="235"/>
      <c r="P54" s="231"/>
    </row>
    <row r="55" spans="1:16" ht="15.75" thickBot="1">
      <c r="A55" s="234">
        <v>23</v>
      </c>
      <c r="B55" s="235" t="s">
        <v>96</v>
      </c>
      <c r="C55" s="235" t="s">
        <v>215</v>
      </c>
      <c r="D55" s="235">
        <v>1</v>
      </c>
      <c r="E55" s="235">
        <v>6.5000000000000002E-2</v>
      </c>
      <c r="F55" s="235" t="s">
        <v>190</v>
      </c>
      <c r="G55" s="235"/>
      <c r="H55" s="231"/>
      <c r="I55" s="234">
        <v>23</v>
      </c>
      <c r="J55" s="235" t="s">
        <v>96</v>
      </c>
      <c r="K55" s="235" t="s">
        <v>215</v>
      </c>
      <c r="L55" s="235">
        <v>1</v>
      </c>
      <c r="M55" s="235">
        <v>6.5000000000000002E-2</v>
      </c>
      <c r="N55" s="235" t="s">
        <v>190</v>
      </c>
      <c r="O55" s="235"/>
      <c r="P55" s="231"/>
    </row>
    <row r="56" spans="1:16" ht="15.75" thickBot="1">
      <c r="A56" s="234">
        <v>24</v>
      </c>
      <c r="B56" s="235" t="s">
        <v>97</v>
      </c>
      <c r="C56" s="235" t="s">
        <v>105</v>
      </c>
      <c r="D56" s="235">
        <v>1</v>
      </c>
      <c r="E56" s="235">
        <v>0.13100000000000001</v>
      </c>
      <c r="F56" s="235" t="s">
        <v>190</v>
      </c>
      <c r="G56" s="235"/>
      <c r="H56" s="231"/>
      <c r="I56" s="234">
        <v>24</v>
      </c>
      <c r="J56" s="235" t="s">
        <v>97</v>
      </c>
      <c r="K56" s="235" t="s">
        <v>105</v>
      </c>
      <c r="L56" s="235">
        <v>1</v>
      </c>
      <c r="M56" s="235">
        <v>0.13100000000000001</v>
      </c>
      <c r="N56" s="235" t="s">
        <v>190</v>
      </c>
      <c r="O56" s="235"/>
      <c r="P56" s="231"/>
    </row>
    <row r="57" spans="1:16" ht="39" thickBot="1">
      <c r="A57" s="243">
        <v>25</v>
      </c>
      <c r="B57" s="235" t="s">
        <v>216</v>
      </c>
      <c r="C57" s="237" t="s">
        <v>260</v>
      </c>
      <c r="D57" s="235">
        <v>4</v>
      </c>
      <c r="E57" s="235">
        <v>9.8000000000000004E-2</v>
      </c>
      <c r="F57" s="235" t="s">
        <v>190</v>
      </c>
      <c r="G57" s="235"/>
      <c r="H57" s="231"/>
      <c r="I57" s="234">
        <v>25</v>
      </c>
      <c r="J57" s="235" t="s">
        <v>217</v>
      </c>
      <c r="K57" s="244" t="s">
        <v>261</v>
      </c>
      <c r="L57" s="235">
        <v>4</v>
      </c>
      <c r="M57" s="235">
        <v>9.8000000000000004E-2</v>
      </c>
      <c r="N57" s="235" t="s">
        <v>190</v>
      </c>
      <c r="O57" s="235"/>
      <c r="P57" s="231"/>
    </row>
    <row r="58" spans="1:16" ht="15.75" thickBot="1">
      <c r="A58" s="243">
        <v>26</v>
      </c>
      <c r="B58" s="235" t="s">
        <v>98</v>
      </c>
      <c r="C58" s="235" t="s">
        <v>218</v>
      </c>
      <c r="D58" s="235">
        <v>1</v>
      </c>
      <c r="E58" s="235">
        <v>2.5000000000000001E-2</v>
      </c>
      <c r="F58" s="235" t="s">
        <v>190</v>
      </c>
      <c r="G58" s="235"/>
      <c r="H58" s="231"/>
      <c r="I58" s="234">
        <v>26</v>
      </c>
      <c r="J58" s="235" t="s">
        <v>98</v>
      </c>
      <c r="K58" s="235" t="s">
        <v>218</v>
      </c>
      <c r="L58" s="235">
        <v>1</v>
      </c>
      <c r="M58" s="235">
        <v>2.5000000000000001E-2</v>
      </c>
      <c r="N58" s="235" t="s">
        <v>190</v>
      </c>
      <c r="O58" s="235"/>
      <c r="P58" s="231"/>
    </row>
    <row r="59" spans="1:16" ht="15.75" thickBot="1">
      <c r="A59" s="234">
        <v>27</v>
      </c>
      <c r="B59" s="235" t="s">
        <v>73</v>
      </c>
      <c r="C59" s="235" t="s">
        <v>85</v>
      </c>
      <c r="D59" s="235">
        <v>4</v>
      </c>
      <c r="E59" s="235">
        <v>0.69799999999999995</v>
      </c>
      <c r="F59" s="235" t="s">
        <v>190</v>
      </c>
      <c r="G59" s="235"/>
      <c r="H59" s="231"/>
      <c r="I59" s="234">
        <v>27</v>
      </c>
      <c r="J59" s="235" t="s">
        <v>73</v>
      </c>
      <c r="K59" s="235" t="s">
        <v>85</v>
      </c>
      <c r="L59" s="235">
        <v>4</v>
      </c>
      <c r="M59" s="235">
        <v>0.69799999999999995</v>
      </c>
      <c r="N59" s="235" t="s">
        <v>190</v>
      </c>
      <c r="O59" s="235"/>
      <c r="P59" s="231"/>
    </row>
    <row r="60" spans="1:16" ht="15.75" thickBot="1">
      <c r="A60" s="234">
        <v>28</v>
      </c>
      <c r="B60" s="235" t="s">
        <v>219</v>
      </c>
      <c r="C60" s="235" t="s">
        <v>220</v>
      </c>
      <c r="D60" s="235">
        <v>4</v>
      </c>
      <c r="E60" s="235">
        <v>9.8000000000000004E-2</v>
      </c>
      <c r="F60" s="235" t="s">
        <v>190</v>
      </c>
      <c r="G60" s="235"/>
      <c r="H60" s="231"/>
      <c r="I60" s="234">
        <v>28</v>
      </c>
      <c r="J60" s="235" t="s">
        <v>219</v>
      </c>
      <c r="K60" s="235" t="s">
        <v>220</v>
      </c>
      <c r="L60" s="235">
        <v>4</v>
      </c>
      <c r="M60" s="235">
        <v>9.8000000000000004E-2</v>
      </c>
      <c r="N60" s="235" t="s">
        <v>190</v>
      </c>
      <c r="O60" s="235"/>
      <c r="P60" s="231"/>
    </row>
    <row r="61" spans="1:16" ht="15.75" thickBot="1">
      <c r="A61" s="243">
        <v>29</v>
      </c>
      <c r="B61" s="235" t="s">
        <v>99</v>
      </c>
      <c r="C61" s="235" t="s">
        <v>214</v>
      </c>
      <c r="D61" s="235">
        <v>4</v>
      </c>
      <c r="E61" s="235">
        <v>7.9000000000000001E-2</v>
      </c>
      <c r="F61" s="235" t="s">
        <v>190</v>
      </c>
      <c r="G61" s="235"/>
      <c r="H61" s="231"/>
      <c r="I61" s="234">
        <v>29</v>
      </c>
      <c r="J61" s="235" t="s">
        <v>99</v>
      </c>
      <c r="K61" s="235" t="s">
        <v>214</v>
      </c>
      <c r="L61" s="235">
        <v>4</v>
      </c>
      <c r="M61" s="235">
        <v>7.9000000000000001E-2</v>
      </c>
      <c r="N61" s="235" t="s">
        <v>190</v>
      </c>
      <c r="O61" s="235"/>
      <c r="P61" s="231"/>
    </row>
    <row r="62" spans="1:16" ht="15.75" thickBot="1">
      <c r="A62" s="243">
        <v>30</v>
      </c>
      <c r="B62" s="235" t="s">
        <v>84</v>
      </c>
      <c r="C62" s="235" t="s">
        <v>203</v>
      </c>
      <c r="D62" s="235">
        <v>5</v>
      </c>
      <c r="E62" s="235">
        <v>8.2000000000000003E-2</v>
      </c>
      <c r="F62" s="235" t="s">
        <v>190</v>
      </c>
      <c r="G62" s="235"/>
      <c r="H62" s="231"/>
      <c r="I62" s="234">
        <v>30</v>
      </c>
      <c r="J62" s="235" t="s">
        <v>84</v>
      </c>
      <c r="K62" s="235" t="s">
        <v>203</v>
      </c>
      <c r="L62" s="235">
        <v>5</v>
      </c>
      <c r="M62" s="235">
        <v>8.2000000000000003E-2</v>
      </c>
      <c r="N62" s="235" t="s">
        <v>190</v>
      </c>
      <c r="O62" s="235"/>
      <c r="P62" s="231"/>
    </row>
    <row r="63" spans="1:16" ht="15.75" thickBot="1">
      <c r="A63" s="245"/>
      <c r="B63" s="236" t="s">
        <v>6</v>
      </c>
      <c r="C63" s="236"/>
      <c r="D63" s="236"/>
      <c r="E63" s="236">
        <f>SUM(E33:E62)</f>
        <v>3.7289999999999996</v>
      </c>
      <c r="F63" s="236"/>
      <c r="G63" s="236"/>
      <c r="H63" s="231"/>
      <c r="I63" s="246"/>
      <c r="J63" s="236" t="s">
        <v>6</v>
      </c>
      <c r="K63" s="236"/>
      <c r="L63" s="236"/>
      <c r="M63" s="236">
        <f>SUM(M33:M62)</f>
        <v>3.7289999999999996</v>
      </c>
      <c r="N63" s="236"/>
      <c r="O63" s="235"/>
      <c r="P63" s="231"/>
    </row>
    <row r="64" spans="1:16" ht="15.75" thickBot="1">
      <c r="A64" s="247">
        <v>1.3</v>
      </c>
      <c r="B64" s="241" t="s">
        <v>114</v>
      </c>
      <c r="C64" s="241" t="s">
        <v>115</v>
      </c>
      <c r="D64" s="241"/>
      <c r="E64" s="241">
        <v>0.47699999999999998</v>
      </c>
      <c r="F64" s="241"/>
      <c r="G64" s="241"/>
      <c r="H64" s="231"/>
      <c r="I64" s="247">
        <v>1.3</v>
      </c>
      <c r="J64" s="241" t="s">
        <v>114</v>
      </c>
      <c r="K64" s="241" t="s">
        <v>115</v>
      </c>
      <c r="L64" s="241"/>
      <c r="M64" s="241">
        <v>0.47699999999999998</v>
      </c>
      <c r="N64" s="241"/>
      <c r="O64" s="241"/>
      <c r="P64" s="231"/>
    </row>
    <row r="65" spans="1:16" ht="15.75" thickBot="1">
      <c r="A65" s="247">
        <v>1.4</v>
      </c>
      <c r="B65" s="241" t="s">
        <v>262</v>
      </c>
      <c r="C65" s="241" t="s">
        <v>263</v>
      </c>
      <c r="D65" s="241"/>
      <c r="E65" s="241">
        <v>0.27</v>
      </c>
      <c r="F65" s="241"/>
      <c r="G65" s="241"/>
      <c r="H65" s="231"/>
      <c r="I65" s="247">
        <v>1.4</v>
      </c>
      <c r="J65" s="241" t="s">
        <v>262</v>
      </c>
      <c r="K65" s="241" t="s">
        <v>263</v>
      </c>
      <c r="L65" s="241"/>
      <c r="M65" s="241">
        <v>0.27</v>
      </c>
      <c r="N65" s="241"/>
      <c r="O65" s="241"/>
      <c r="P65" s="231"/>
    </row>
    <row r="66" spans="1:16" ht="26.25" thickBot="1">
      <c r="A66" s="245"/>
      <c r="B66" s="235" t="s">
        <v>264</v>
      </c>
      <c r="C66" s="235"/>
      <c r="D66" s="235"/>
      <c r="E66" s="316">
        <f>E64+E63+E31+E65</f>
        <v>9.843</v>
      </c>
      <c r="F66" s="235"/>
      <c r="G66" s="248"/>
      <c r="H66" s="231"/>
      <c r="I66" s="245"/>
      <c r="J66" s="235" t="s">
        <v>264</v>
      </c>
      <c r="K66" s="235"/>
      <c r="L66" s="235"/>
      <c r="M66" s="316">
        <f>M64+M63+M31+M65</f>
        <v>9.3189999999999991</v>
      </c>
      <c r="N66" s="235"/>
      <c r="O66" s="248"/>
      <c r="P66" s="231"/>
    </row>
    <row r="67" spans="1:16" ht="15.75">
      <c r="A67" s="89"/>
    </row>
  </sheetData>
  <mergeCells count="15">
    <mergeCell ref="K9:O10"/>
    <mergeCell ref="A1:G1"/>
    <mergeCell ref="I1:O1"/>
    <mergeCell ref="A2:A3"/>
    <mergeCell ref="B2:B3"/>
    <mergeCell ref="C2:C3"/>
    <mergeCell ref="D2:D3"/>
    <mergeCell ref="F2:F3"/>
    <mergeCell ref="G2:G3"/>
    <mergeCell ref="I2:I3"/>
    <mergeCell ref="J2:J3"/>
    <mergeCell ref="K2:K3"/>
    <mergeCell ref="L2:L3"/>
    <mergeCell ref="N2:N3"/>
    <mergeCell ref="O2:O3"/>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57482E-F184-4120-81F6-13668903C5E2}">
  <dimension ref="A1:D20"/>
  <sheetViews>
    <sheetView showGridLines="0" workbookViewId="0">
      <selection activeCell="B3" sqref="B3"/>
    </sheetView>
  </sheetViews>
  <sheetFormatPr defaultRowHeight="15"/>
  <cols>
    <col min="1" max="1" width="3" bestFit="1" customWidth="1"/>
    <col min="2" max="2" width="49.7109375" customWidth="1"/>
    <col min="3" max="3" width="11" style="205" customWidth="1"/>
    <col min="4" max="4" width="18.42578125" bestFit="1" customWidth="1"/>
  </cols>
  <sheetData>
    <row r="1" spans="1:4">
      <c r="A1" s="102"/>
      <c r="B1" s="103" t="s">
        <v>12</v>
      </c>
      <c r="C1" s="303"/>
      <c r="D1" s="104" t="s">
        <v>9</v>
      </c>
    </row>
    <row r="2" spans="1:4">
      <c r="A2" s="91" t="s">
        <v>1</v>
      </c>
      <c r="B2" s="90" t="s">
        <v>13</v>
      </c>
      <c r="C2" s="304"/>
      <c r="D2" s="92">
        <f>D12+D3</f>
        <v>35002487.780000001</v>
      </c>
    </row>
    <row r="3" spans="1:4">
      <c r="A3" s="93" t="s">
        <v>14</v>
      </c>
      <c r="B3" s="48" t="s">
        <v>15</v>
      </c>
      <c r="C3" s="305"/>
      <c r="D3" s="94">
        <f>SUM(D4:D11)</f>
        <v>25313507.359999999</v>
      </c>
    </row>
    <row r="4" spans="1:4">
      <c r="A4" s="95">
        <v>1</v>
      </c>
      <c r="B4" s="31" t="s">
        <v>16</v>
      </c>
      <c r="C4" s="179"/>
      <c r="D4" s="96">
        <f>'Equipment List '!M66*10^6</f>
        <v>9318999.9999999981</v>
      </c>
    </row>
    <row r="5" spans="1:4" ht="24">
      <c r="A5" s="95">
        <v>2</v>
      </c>
      <c r="B5" s="31" t="s">
        <v>341</v>
      </c>
      <c r="C5" s="309">
        <f>D5/D$4</f>
        <v>0.32181244017598459</v>
      </c>
      <c r="D5" s="96">
        <v>2998970.13</v>
      </c>
    </row>
    <row r="6" spans="1:4" ht="24">
      <c r="A6" s="95">
        <v>3</v>
      </c>
      <c r="B6" s="31" t="s">
        <v>342</v>
      </c>
      <c r="C6" s="309">
        <f t="shared" ref="C6:C11" si="0">D6/D$4</f>
        <v>0.21454162678398975</v>
      </c>
      <c r="D6" s="96">
        <v>1999313.4200000002</v>
      </c>
    </row>
    <row r="7" spans="1:4" ht="24">
      <c r="A7" s="95">
        <v>4</v>
      </c>
      <c r="B7" s="31" t="s">
        <v>343</v>
      </c>
      <c r="C7" s="309">
        <f t="shared" si="0"/>
        <v>0.25579963193475702</v>
      </c>
      <c r="D7" s="96">
        <v>2383796.77</v>
      </c>
    </row>
    <row r="8" spans="1:4" ht="24">
      <c r="A8" s="95">
        <v>5</v>
      </c>
      <c r="B8" s="31" t="s">
        <v>344</v>
      </c>
      <c r="C8" s="309">
        <f t="shared" si="0"/>
        <v>8.251601030153452E-2</v>
      </c>
      <c r="D8" s="96">
        <v>768966.70000000007</v>
      </c>
    </row>
    <row r="9" spans="1:4">
      <c r="A9" s="95">
        <v>6</v>
      </c>
      <c r="B9" s="31" t="s">
        <v>357</v>
      </c>
      <c r="C9" s="309">
        <f t="shared" si="0"/>
        <v>0.23929642987445007</v>
      </c>
      <c r="D9" s="96">
        <v>2230003.4299999997</v>
      </c>
    </row>
    <row r="10" spans="1:4" ht="24">
      <c r="A10" s="95">
        <v>7</v>
      </c>
      <c r="B10" s="31" t="s">
        <v>345</v>
      </c>
      <c r="C10" s="309">
        <f t="shared" si="0"/>
        <v>0.4538380566584399</v>
      </c>
      <c r="D10" s="96">
        <v>4229316.8500000006</v>
      </c>
    </row>
    <row r="11" spans="1:4">
      <c r="A11" s="95">
        <v>8</v>
      </c>
      <c r="B11" s="31" t="s">
        <v>358</v>
      </c>
      <c r="C11" s="309">
        <f t="shared" si="0"/>
        <v>0.14852881854276215</v>
      </c>
      <c r="D11" s="96">
        <v>1384140.06</v>
      </c>
    </row>
    <row r="12" spans="1:4" ht="24">
      <c r="A12" s="97" t="s">
        <v>17</v>
      </c>
      <c r="B12" s="49" t="s">
        <v>18</v>
      </c>
      <c r="C12" s="306"/>
      <c r="D12" s="98">
        <f>SUM(D13:D17)</f>
        <v>9688980.4200000018</v>
      </c>
    </row>
    <row r="13" spans="1:4" ht="24">
      <c r="A13" s="95">
        <v>9</v>
      </c>
      <c r="B13" s="31" t="s">
        <v>346</v>
      </c>
      <c r="C13" s="308">
        <f>D13/$D$4</f>
        <v>0.26405123296491045</v>
      </c>
      <c r="D13" s="96">
        <v>2460693.44</v>
      </c>
    </row>
    <row r="14" spans="1:4" ht="24">
      <c r="A14" s="95">
        <v>10</v>
      </c>
      <c r="B14" s="31" t="s">
        <v>347</v>
      </c>
      <c r="C14" s="308">
        <f t="shared" ref="C14:C16" si="1">D14/$D$4</f>
        <v>0.28055443502521737</v>
      </c>
      <c r="D14" s="96">
        <v>2614486.7800000003</v>
      </c>
    </row>
    <row r="15" spans="1:4" ht="24">
      <c r="A15" s="95">
        <v>11</v>
      </c>
      <c r="B15" s="31" t="s">
        <v>348</v>
      </c>
      <c r="C15" s="308">
        <f t="shared" si="1"/>
        <v>3.3006404120613807E-2</v>
      </c>
      <c r="D15" s="96">
        <v>307586.68</v>
      </c>
    </row>
    <row r="16" spans="1:4" ht="24">
      <c r="A16" s="95">
        <v>12</v>
      </c>
      <c r="B16" s="31" t="s">
        <v>349</v>
      </c>
      <c r="C16" s="308">
        <f t="shared" si="1"/>
        <v>0.15678041957291558</v>
      </c>
      <c r="D16" s="96">
        <v>1461036.73</v>
      </c>
    </row>
    <row r="17" spans="1:4">
      <c r="A17" s="95">
        <v>13</v>
      </c>
      <c r="B17" s="31" t="s">
        <v>350</v>
      </c>
      <c r="C17" s="308">
        <f>D17/D19</f>
        <v>7.953763220868619E-2</v>
      </c>
      <c r="D17" s="96">
        <v>2845176.79</v>
      </c>
    </row>
    <row r="18" spans="1:4">
      <c r="A18" s="97" t="s">
        <v>2</v>
      </c>
      <c r="B18" s="49" t="s">
        <v>19</v>
      </c>
      <c r="C18" s="310"/>
      <c r="D18" s="98">
        <v>768966.70000000007</v>
      </c>
    </row>
    <row r="19" spans="1:4" ht="15.75" thickBot="1">
      <c r="A19" s="99"/>
      <c r="B19" s="100" t="s">
        <v>221</v>
      </c>
      <c r="C19" s="307"/>
      <c r="D19" s="101">
        <f>D2+D18</f>
        <v>35771454.480000004</v>
      </c>
    </row>
    <row r="20" spans="1:4">
      <c r="A20" s="9"/>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C8149A-6F29-4A5D-B8D1-14D023BD2332}">
  <dimension ref="A1:Q87"/>
  <sheetViews>
    <sheetView showGridLines="0" topLeftCell="A61" zoomScale="96" zoomScaleNormal="96" workbookViewId="0">
      <selection activeCell="F75" sqref="F75"/>
    </sheetView>
  </sheetViews>
  <sheetFormatPr defaultRowHeight="15"/>
  <cols>
    <col min="1" max="1" width="4.28515625" bestFit="1" customWidth="1"/>
    <col min="2" max="2" width="85" customWidth="1"/>
    <col min="3" max="3" width="15.85546875" customWidth="1"/>
    <col min="4" max="4" width="20.85546875" customWidth="1"/>
    <col min="5" max="5" width="47.7109375" style="166" customWidth="1"/>
    <col min="6" max="6" width="13.85546875" bestFit="1" customWidth="1"/>
    <col min="7" max="7" width="16.42578125" customWidth="1"/>
    <col min="8" max="8" width="14.7109375" customWidth="1"/>
    <col min="9" max="9" width="14.85546875" customWidth="1"/>
    <col min="10" max="10" width="14.5703125" customWidth="1"/>
    <col min="11" max="11" width="11.85546875" customWidth="1"/>
    <col min="12" max="12" width="12.28515625" customWidth="1"/>
    <col min="13" max="13" width="13.140625" customWidth="1"/>
    <col min="14" max="14" width="12" customWidth="1"/>
    <col min="15" max="15" width="15.7109375" customWidth="1"/>
    <col min="16" max="16" width="14.28515625" customWidth="1"/>
    <col min="17" max="17" width="13.5703125" customWidth="1"/>
  </cols>
  <sheetData>
    <row r="1" spans="1:17">
      <c r="D1" s="174">
        <v>2021</v>
      </c>
      <c r="E1" s="218" t="s">
        <v>81</v>
      </c>
      <c r="F1" s="174">
        <v>2022</v>
      </c>
      <c r="G1" s="174">
        <v>2023</v>
      </c>
      <c r="H1" s="174">
        <v>2024</v>
      </c>
      <c r="I1" s="174">
        <v>2025</v>
      </c>
      <c r="J1" s="174">
        <v>2026</v>
      </c>
      <c r="K1" s="174">
        <v>2027</v>
      </c>
      <c r="L1" s="174">
        <v>2028</v>
      </c>
      <c r="M1" s="174">
        <v>2029</v>
      </c>
      <c r="N1" s="174">
        <v>2030</v>
      </c>
      <c r="O1" s="174">
        <v>2031</v>
      </c>
      <c r="P1" s="174">
        <v>2032</v>
      </c>
      <c r="Q1" s="174">
        <v>2033</v>
      </c>
    </row>
    <row r="2" spans="1:17" ht="15.75" thickBot="1">
      <c r="A2" s="335" t="s">
        <v>334</v>
      </c>
      <c r="B2" s="335"/>
      <c r="C2" s="335"/>
      <c r="D2" s="335"/>
      <c r="E2" s="335"/>
    </row>
    <row r="3" spans="1:17">
      <c r="A3" s="109"/>
      <c r="B3" s="110" t="s">
        <v>249</v>
      </c>
      <c r="C3" s="111"/>
      <c r="D3" s="200" t="s">
        <v>9</v>
      </c>
      <c r="E3" s="219"/>
    </row>
    <row r="4" spans="1:17">
      <c r="A4" s="113" t="s">
        <v>3</v>
      </c>
      <c r="B4" s="87" t="s">
        <v>20</v>
      </c>
      <c r="C4" s="86"/>
      <c r="D4" s="199">
        <f>+D5+D8+D10+D13</f>
        <v>128730072.84390953</v>
      </c>
      <c r="E4" s="220"/>
      <c r="F4" s="201">
        <f>F5+F6</f>
        <v>120894620</v>
      </c>
      <c r="G4" s="185">
        <f t="shared" ref="G4:N4" si="0">G5+G6</f>
        <v>122708039.3</v>
      </c>
      <c r="H4" s="185">
        <f t="shared" si="0"/>
        <v>124548659.88949999</v>
      </c>
      <c r="I4" s="185">
        <f t="shared" si="0"/>
        <v>126416889.7878425</v>
      </c>
      <c r="J4" s="185">
        <f t="shared" si="0"/>
        <v>128313143.13466014</v>
      </c>
      <c r="K4" s="185">
        <f t="shared" si="0"/>
        <v>130237840.28168005</v>
      </c>
      <c r="L4" s="185">
        <f t="shared" si="0"/>
        <v>132191407.88590524</v>
      </c>
      <c r="M4" s="185">
        <f t="shared" si="0"/>
        <v>134174279.00419381</v>
      </c>
      <c r="N4" s="185">
        <f t="shared" si="0"/>
        <v>136186893.18925673</v>
      </c>
      <c r="O4" s="185">
        <f t="shared" ref="O4" si="1">O5+O6</f>
        <v>138229696.58709556</v>
      </c>
      <c r="P4" s="185">
        <f t="shared" ref="P4" si="2">P5+P6</f>
        <v>140303142.03590202</v>
      </c>
      <c r="Q4" s="185">
        <f t="shared" ref="Q4" si="3">Q5+Q6</f>
        <v>142407689.16644055</v>
      </c>
    </row>
    <row r="5" spans="1:17">
      <c r="A5" s="115" t="s">
        <v>10</v>
      </c>
      <c r="B5" s="105" t="s">
        <v>169</v>
      </c>
      <c r="C5" s="106"/>
      <c r="D5" s="175">
        <f>D6+D7</f>
        <v>119108000</v>
      </c>
      <c r="E5" s="221"/>
      <c r="F5" s="202">
        <f>D6+D6*1.5%</f>
        <v>105263620</v>
      </c>
      <c r="G5" s="124">
        <f t="shared" ref="G5:Q6" si="4">F5+F5*1.5%</f>
        <v>106842574.3</v>
      </c>
      <c r="H5" s="124">
        <f t="shared" si="4"/>
        <v>108445212.9145</v>
      </c>
      <c r="I5" s="124">
        <f t="shared" si="4"/>
        <v>110071891.10821749</v>
      </c>
      <c r="J5" s="124">
        <f t="shared" si="4"/>
        <v>111722969.47484076</v>
      </c>
      <c r="K5" s="124">
        <f t="shared" si="4"/>
        <v>113398814.01696338</v>
      </c>
      <c r="L5" s="124">
        <f t="shared" si="4"/>
        <v>115099796.22721782</v>
      </c>
      <c r="M5" s="124">
        <f t="shared" si="4"/>
        <v>116826293.17062609</v>
      </c>
      <c r="N5" s="124">
        <f t="shared" si="4"/>
        <v>118578687.56818548</v>
      </c>
      <c r="O5" s="124">
        <f t="shared" si="4"/>
        <v>120357367.88170826</v>
      </c>
      <c r="P5" s="124">
        <f t="shared" si="4"/>
        <v>122162728.39993389</v>
      </c>
      <c r="Q5" s="124">
        <f t="shared" si="4"/>
        <v>123995169.32593291</v>
      </c>
    </row>
    <row r="6" spans="1:17">
      <c r="A6" s="95">
        <v>1</v>
      </c>
      <c r="B6" s="32" t="s">
        <v>169</v>
      </c>
      <c r="C6" s="107" t="s">
        <v>25</v>
      </c>
      <c r="D6" s="176">
        <f>(2357*44000)</f>
        <v>103708000</v>
      </c>
      <c r="E6" s="222"/>
      <c r="F6" s="202">
        <f>D7+D7*1.5%</f>
        <v>15631000</v>
      </c>
      <c r="G6" s="124">
        <f t="shared" si="4"/>
        <v>15865465</v>
      </c>
      <c r="H6" s="124">
        <f t="shared" si="4"/>
        <v>16103446.975</v>
      </c>
      <c r="I6" s="124">
        <f t="shared" si="4"/>
        <v>16344998.679624999</v>
      </c>
      <c r="J6" s="124">
        <f t="shared" si="4"/>
        <v>16590173.659819374</v>
      </c>
      <c r="K6" s="124">
        <f t="shared" si="4"/>
        <v>16839026.264716666</v>
      </c>
      <c r="L6" s="124">
        <f t="shared" si="4"/>
        <v>17091611.658687416</v>
      </c>
      <c r="M6" s="124">
        <f t="shared" si="4"/>
        <v>17347985.833567727</v>
      </c>
      <c r="N6" s="124">
        <f t="shared" si="4"/>
        <v>17608205.621071242</v>
      </c>
      <c r="O6" s="124">
        <f t="shared" si="4"/>
        <v>17872328.705387309</v>
      </c>
      <c r="P6" s="124">
        <f t="shared" si="4"/>
        <v>18140413.635968119</v>
      </c>
      <c r="Q6" s="124">
        <f t="shared" si="4"/>
        <v>18412519.840507641</v>
      </c>
    </row>
    <row r="7" spans="1:17">
      <c r="A7" s="95">
        <v>2</v>
      </c>
      <c r="B7" s="32" t="s">
        <v>181</v>
      </c>
      <c r="C7" s="107"/>
      <c r="D7" s="176">
        <f>350*44000</f>
        <v>15400000</v>
      </c>
      <c r="E7" s="222" t="s">
        <v>265</v>
      </c>
      <c r="F7" s="203">
        <f t="shared" ref="F7:Q7" si="5">F8</f>
        <v>1448228.5714285716</v>
      </c>
      <c r="G7" s="177">
        <f t="shared" si="5"/>
        <v>1564086.8571428573</v>
      </c>
      <c r="H7" s="177">
        <f t="shared" si="5"/>
        <v>1689213.8057142859</v>
      </c>
      <c r="I7" s="177">
        <f t="shared" si="5"/>
        <v>1824350.9101714287</v>
      </c>
      <c r="J7" s="177">
        <f t="shared" si="5"/>
        <v>1970298.9829851431</v>
      </c>
      <c r="K7" s="177">
        <f t="shared" si="5"/>
        <v>2127922.9016239545</v>
      </c>
      <c r="L7" s="177">
        <f t="shared" si="5"/>
        <v>2298156.7337538707</v>
      </c>
      <c r="M7" s="177">
        <f t="shared" si="5"/>
        <v>2482009.2724541803</v>
      </c>
      <c r="N7" s="177">
        <f t="shared" si="5"/>
        <v>2680570.0142505146</v>
      </c>
      <c r="O7" s="177">
        <f t="shared" si="5"/>
        <v>2895015.6153905559</v>
      </c>
      <c r="P7" s="177">
        <f t="shared" si="5"/>
        <v>3126616.8646218004</v>
      </c>
      <c r="Q7" s="177">
        <f t="shared" si="5"/>
        <v>3376746.2137915445</v>
      </c>
    </row>
    <row r="8" spans="1:17">
      <c r="A8" s="115" t="s">
        <v>11</v>
      </c>
      <c r="B8" s="105" t="s">
        <v>120</v>
      </c>
      <c r="C8" s="106"/>
      <c r="D8" s="177">
        <f>D9</f>
        <v>1340952.3809523811</v>
      </c>
      <c r="E8" s="221"/>
      <c r="F8" s="202">
        <f>D9+D9*8%</f>
        <v>1448228.5714285716</v>
      </c>
      <c r="G8" s="124">
        <f t="shared" ref="G8:Q8" si="6">F8+F8*8%</f>
        <v>1564086.8571428573</v>
      </c>
      <c r="H8" s="124">
        <f t="shared" si="6"/>
        <v>1689213.8057142859</v>
      </c>
      <c r="I8" s="124">
        <f t="shared" si="6"/>
        <v>1824350.9101714287</v>
      </c>
      <c r="J8" s="124">
        <f t="shared" si="6"/>
        <v>1970298.9829851431</v>
      </c>
      <c r="K8" s="124">
        <f t="shared" si="6"/>
        <v>2127922.9016239545</v>
      </c>
      <c r="L8" s="124">
        <f t="shared" si="6"/>
        <v>2298156.7337538707</v>
      </c>
      <c r="M8" s="124">
        <f t="shared" si="6"/>
        <v>2482009.2724541803</v>
      </c>
      <c r="N8" s="124">
        <f t="shared" si="6"/>
        <v>2680570.0142505146</v>
      </c>
      <c r="O8" s="124">
        <f t="shared" si="6"/>
        <v>2895015.6153905559</v>
      </c>
      <c r="P8" s="124">
        <f t="shared" si="6"/>
        <v>3126616.8646218004</v>
      </c>
      <c r="Q8" s="124">
        <f t="shared" si="6"/>
        <v>3376746.2137915445</v>
      </c>
    </row>
    <row r="9" spans="1:17">
      <c r="A9" s="95">
        <v>3</v>
      </c>
      <c r="B9" s="32" t="s">
        <v>184</v>
      </c>
      <c r="C9" s="107" t="s">
        <v>25</v>
      </c>
      <c r="D9" s="176">
        <f>('Salary and Wages Estimation'!D11*10^6)*44000/84000</f>
        <v>1340952.3809523811</v>
      </c>
      <c r="E9" s="222" t="s">
        <v>276</v>
      </c>
      <c r="F9" s="252"/>
      <c r="G9" s="252"/>
      <c r="H9" s="252"/>
      <c r="I9" s="252"/>
      <c r="J9" s="252"/>
      <c r="K9" s="252"/>
      <c r="L9" s="252"/>
      <c r="M9" s="252"/>
      <c r="N9" s="252"/>
      <c r="O9" s="252"/>
      <c r="P9" s="252"/>
      <c r="Q9" s="252"/>
    </row>
    <row r="10" spans="1:17">
      <c r="A10" s="115" t="s">
        <v>33</v>
      </c>
      <c r="B10" s="105" t="s">
        <v>160</v>
      </c>
      <c r="C10" s="106"/>
      <c r="D10" s="178">
        <f>D11+D12</f>
        <v>6817521.2976190476</v>
      </c>
      <c r="E10" s="221"/>
      <c r="F10" s="252"/>
      <c r="G10" s="252"/>
      <c r="H10" s="252"/>
      <c r="I10" s="252"/>
      <c r="J10" s="252"/>
      <c r="K10" s="252"/>
      <c r="L10" s="252"/>
      <c r="M10" s="252"/>
      <c r="N10" s="252"/>
      <c r="O10" s="252"/>
      <c r="P10" s="252"/>
      <c r="Q10" s="252"/>
    </row>
    <row r="11" spans="1:17">
      <c r="A11" s="116">
        <v>4</v>
      </c>
      <c r="B11" s="32" t="s">
        <v>278</v>
      </c>
      <c r="C11" s="250">
        <v>97.45</v>
      </c>
      <c r="D11" s="249">
        <f>C11*44000</f>
        <v>4287800</v>
      </c>
      <c r="E11" s="223" t="s">
        <v>360</v>
      </c>
      <c r="F11" s="252"/>
      <c r="G11" s="252"/>
      <c r="H11" s="252"/>
      <c r="I11" s="252"/>
      <c r="J11" s="252"/>
      <c r="K11" s="252"/>
      <c r="L11" s="252"/>
      <c r="M11" s="252"/>
      <c r="N11" s="252"/>
      <c r="O11" s="252"/>
      <c r="P11" s="252"/>
      <c r="Q11" s="252"/>
    </row>
    <row r="12" spans="1:17">
      <c r="A12" s="95">
        <v>5</v>
      </c>
      <c r="B12" s="32" t="s">
        <v>180</v>
      </c>
      <c r="C12" s="176">
        <v>4829467.9318181816</v>
      </c>
      <c r="D12" s="176">
        <f>C12*44000/84000</f>
        <v>2529721.2976190476</v>
      </c>
      <c r="E12" s="222" t="s">
        <v>279</v>
      </c>
      <c r="F12" s="252"/>
      <c r="G12" s="252"/>
      <c r="H12" s="252"/>
      <c r="I12" s="252"/>
      <c r="J12" s="252"/>
      <c r="K12" s="252"/>
      <c r="L12" s="252"/>
      <c r="M12" s="252"/>
      <c r="N12" s="252"/>
      <c r="O12" s="252"/>
      <c r="P12" s="252"/>
      <c r="Q12" s="252"/>
    </row>
    <row r="13" spans="1:17">
      <c r="A13" s="115" t="s">
        <v>170</v>
      </c>
      <c r="B13" s="105" t="s">
        <v>161</v>
      </c>
      <c r="C13" s="106"/>
      <c r="D13" s="178">
        <f>SUM(D14:D16)</f>
        <v>1463599.1653380955</v>
      </c>
      <c r="E13" s="221"/>
      <c r="F13" s="252"/>
      <c r="G13" s="252"/>
      <c r="H13" s="252"/>
      <c r="I13" s="252"/>
      <c r="J13" s="252"/>
      <c r="K13" s="252"/>
      <c r="L13" s="252"/>
      <c r="M13" s="252"/>
      <c r="N13" s="252"/>
      <c r="O13" s="252"/>
      <c r="P13" s="252"/>
      <c r="Q13" s="252"/>
    </row>
    <row r="14" spans="1:17">
      <c r="A14" s="95">
        <v>6</v>
      </c>
      <c r="B14" s="120" t="s">
        <v>186</v>
      </c>
      <c r="C14" s="121">
        <v>2.5000000000000001E-2</v>
      </c>
      <c r="D14" s="176">
        <f>Capex!D19*'Opex Segmental(84 KTPA)'!C14*44000/84000</f>
        <v>468435.71342857153</v>
      </c>
      <c r="E14" s="222"/>
      <c r="F14" s="252"/>
      <c r="G14" s="252"/>
      <c r="H14" s="252"/>
      <c r="I14" s="252"/>
      <c r="J14" s="252"/>
      <c r="K14" s="252"/>
      <c r="L14" s="252"/>
      <c r="M14" s="252"/>
      <c r="N14" s="252"/>
      <c r="O14" s="252"/>
      <c r="P14" s="252"/>
      <c r="Q14" s="252"/>
    </row>
    <row r="15" spans="1:17">
      <c r="A15" s="95">
        <v>7</v>
      </c>
      <c r="B15" s="120" t="s">
        <v>285</v>
      </c>
      <c r="C15" s="121">
        <v>0.45</v>
      </c>
      <c r="D15" s="176">
        <f>(D9+D14)*C15</f>
        <v>814224.64247142873</v>
      </c>
      <c r="E15" s="222"/>
      <c r="F15" s="252"/>
      <c r="G15" s="252"/>
      <c r="H15" s="252"/>
      <c r="I15" s="252"/>
      <c r="J15" s="252"/>
      <c r="K15" s="252"/>
      <c r="L15" s="252"/>
      <c r="M15" s="252"/>
      <c r="N15" s="252"/>
      <c r="O15" s="252"/>
      <c r="P15" s="252"/>
      <c r="Q15" s="252"/>
    </row>
    <row r="16" spans="1:17">
      <c r="A16" s="95">
        <v>8</v>
      </c>
      <c r="B16" s="120" t="s">
        <v>286</v>
      </c>
      <c r="C16" s="121">
        <v>0.1</v>
      </c>
      <c r="D16" s="182">
        <f>(D9+D14)*C16</f>
        <v>180938.80943809528</v>
      </c>
      <c r="E16" s="222"/>
      <c r="F16" s="252"/>
      <c r="G16" s="217">
        <f>F16/44000</f>
        <v>0</v>
      </c>
      <c r="H16" s="205"/>
      <c r="I16" s="205"/>
    </row>
    <row r="17" spans="1:17">
      <c r="A17" s="115" t="s">
        <v>4</v>
      </c>
      <c r="B17" s="122" t="s">
        <v>162</v>
      </c>
      <c r="C17" s="123"/>
      <c r="D17" s="178">
        <f>SUM(D18:D19)</f>
        <v>15447608.741269145</v>
      </c>
      <c r="E17" s="221"/>
      <c r="G17" s="205"/>
      <c r="H17" s="205"/>
      <c r="I17" s="205"/>
    </row>
    <row r="18" spans="1:17">
      <c r="A18" s="95">
        <v>9</v>
      </c>
      <c r="B18" s="120" t="s">
        <v>185</v>
      </c>
      <c r="C18" s="121">
        <v>0.1</v>
      </c>
      <c r="D18" s="176">
        <f>D4*C18</f>
        <v>12873007.284390954</v>
      </c>
      <c r="E18" s="222"/>
      <c r="G18" s="205"/>
      <c r="H18" s="205"/>
      <c r="I18" s="205"/>
    </row>
    <row r="19" spans="1:17">
      <c r="A19" s="95">
        <v>10</v>
      </c>
      <c r="B19" s="120" t="s">
        <v>182</v>
      </c>
      <c r="C19" s="121">
        <v>0.02</v>
      </c>
      <c r="D19" s="176">
        <f>D4*C19</f>
        <v>2574601.4568781909</v>
      </c>
      <c r="E19" s="222"/>
      <c r="G19" s="205"/>
      <c r="H19" s="205"/>
      <c r="I19" s="205"/>
    </row>
    <row r="20" spans="1:17">
      <c r="A20" s="209"/>
      <c r="B20" s="210" t="s">
        <v>171</v>
      </c>
      <c r="C20" s="211"/>
      <c r="D20" s="212">
        <f>D17+D4</f>
        <v>144177681.58517867</v>
      </c>
      <c r="E20" s="224"/>
      <c r="G20" s="205"/>
      <c r="H20" s="205"/>
      <c r="I20" s="205"/>
    </row>
    <row r="21" spans="1:17">
      <c r="A21" s="336" t="s">
        <v>287</v>
      </c>
      <c r="B21" s="336"/>
      <c r="C21" s="336"/>
      <c r="D21" s="336"/>
      <c r="E21" s="213">
        <f>D20/44000</f>
        <v>3276.7654905722425</v>
      </c>
      <c r="G21" s="205"/>
      <c r="H21" s="205"/>
      <c r="I21" s="205"/>
    </row>
    <row r="22" spans="1:17" ht="15.75" thickBot="1">
      <c r="A22" s="335" t="s">
        <v>333</v>
      </c>
      <c r="B22" s="335"/>
      <c r="C22" s="335"/>
      <c r="D22" s="335"/>
      <c r="E22" s="335"/>
      <c r="G22" s="205"/>
      <c r="H22" s="205"/>
      <c r="I22" s="205"/>
    </row>
    <row r="23" spans="1:17">
      <c r="A23" s="109"/>
      <c r="B23" s="110" t="s">
        <v>247</v>
      </c>
      <c r="C23" s="111"/>
      <c r="D23" s="200" t="s">
        <v>9</v>
      </c>
      <c r="E23" s="219"/>
    </row>
    <row r="24" spans="1:17">
      <c r="A24" s="113" t="s">
        <v>3</v>
      </c>
      <c r="B24" s="87" t="s">
        <v>20</v>
      </c>
      <c r="C24" s="86"/>
      <c r="D24" s="199">
        <f>+D25+D28+D30+D33</f>
        <v>52368669.474504322</v>
      </c>
      <c r="E24" s="220"/>
    </row>
    <row r="25" spans="1:17">
      <c r="A25" s="115" t="s">
        <v>10</v>
      </c>
      <c r="B25" s="105" t="s">
        <v>169</v>
      </c>
      <c r="C25" s="106"/>
      <c r="D25" s="175">
        <f>D26+D27</f>
        <v>48020000</v>
      </c>
      <c r="E25" s="221"/>
      <c r="F25" s="201">
        <f>F26+F27</f>
        <v>48740300</v>
      </c>
      <c r="G25" s="185">
        <f t="shared" ref="G25:Q25" si="7">G26+G27</f>
        <v>49471404.5</v>
      </c>
      <c r="H25" s="185">
        <f t="shared" si="7"/>
        <v>50213475.567499995</v>
      </c>
      <c r="I25" s="185">
        <f t="shared" si="7"/>
        <v>50966677.701012492</v>
      </c>
      <c r="J25" s="185">
        <f t="shared" si="7"/>
        <v>51731177.866527684</v>
      </c>
      <c r="K25" s="185">
        <f t="shared" si="7"/>
        <v>52507145.534525596</v>
      </c>
      <c r="L25" s="185">
        <f t="shared" si="7"/>
        <v>53294752.717543483</v>
      </c>
      <c r="M25" s="185">
        <f t="shared" si="7"/>
        <v>54094174.008306637</v>
      </c>
      <c r="N25" s="185">
        <f t="shared" si="7"/>
        <v>54905586.618431233</v>
      </c>
      <c r="O25" s="185">
        <f t="shared" si="7"/>
        <v>55729170.417707697</v>
      </c>
      <c r="P25" s="185">
        <f t="shared" si="7"/>
        <v>56565107.973973319</v>
      </c>
      <c r="Q25" s="185">
        <f t="shared" si="7"/>
        <v>57413584.593582913</v>
      </c>
    </row>
    <row r="26" spans="1:17">
      <c r="A26" s="95">
        <v>1</v>
      </c>
      <c r="B26" s="32" t="s">
        <v>169</v>
      </c>
      <c r="C26" s="107" t="s">
        <v>25</v>
      </c>
      <c r="D26" s="176">
        <f>20000*2041</f>
        <v>40820000</v>
      </c>
      <c r="E26" s="222"/>
      <c r="F26" s="202">
        <f>D26+D26*1.5%</f>
        <v>41432300</v>
      </c>
      <c r="G26" s="124">
        <f t="shared" ref="G26:G27" si="8">F26+F26*1.5%</f>
        <v>42053784.5</v>
      </c>
      <c r="H26" s="124">
        <f t="shared" ref="H26:H27" si="9">G26+G26*1.5%</f>
        <v>42684591.267499998</v>
      </c>
      <c r="I26" s="124">
        <f t="shared" ref="I26:I27" si="10">H26+H26*1.5%</f>
        <v>43324860.136512496</v>
      </c>
      <c r="J26" s="124">
        <f t="shared" ref="J26:J27" si="11">I26+I26*1.5%</f>
        <v>43974733.038560182</v>
      </c>
      <c r="K26" s="124">
        <f t="shared" ref="K26:K27" si="12">J26+J26*1.5%</f>
        <v>44634354.034138583</v>
      </c>
      <c r="L26" s="124">
        <f t="shared" ref="L26:L27" si="13">K26+K26*1.5%</f>
        <v>45303869.344650663</v>
      </c>
      <c r="M26" s="124">
        <f t="shared" ref="M26:M27" si="14">L26+L26*1.5%</f>
        <v>45983427.384820424</v>
      </c>
      <c r="N26" s="124">
        <f t="shared" ref="N26:N27" si="15">M26+M26*1.5%</f>
        <v>46673178.795592733</v>
      </c>
      <c r="O26" s="124">
        <f t="shared" ref="O26:O27" si="16">N26+N26*1.5%</f>
        <v>47373276.47752662</v>
      </c>
      <c r="P26" s="124">
        <f t="shared" ref="P26:P27" si="17">O26+O26*1.5%</f>
        <v>48083875.624689519</v>
      </c>
      <c r="Q26" s="124">
        <f t="shared" ref="Q26:Q27" si="18">P26+P26*1.5%</f>
        <v>48805133.759059861</v>
      </c>
    </row>
    <row r="27" spans="1:17">
      <c r="A27" s="95">
        <v>2</v>
      </c>
      <c r="B27" s="32" t="s">
        <v>181</v>
      </c>
      <c r="C27" s="107"/>
      <c r="D27" s="176">
        <f>360*20000</f>
        <v>7200000</v>
      </c>
      <c r="E27" s="222" t="s">
        <v>265</v>
      </c>
      <c r="F27" s="202">
        <f>D27+D27*1.5%</f>
        <v>7308000</v>
      </c>
      <c r="G27" s="124">
        <f t="shared" si="8"/>
        <v>7417620</v>
      </c>
      <c r="H27" s="124">
        <f t="shared" si="9"/>
        <v>7528884.2999999998</v>
      </c>
      <c r="I27" s="124">
        <f t="shared" si="10"/>
        <v>7641817.5644999994</v>
      </c>
      <c r="J27" s="124">
        <f t="shared" si="11"/>
        <v>7756444.8279674994</v>
      </c>
      <c r="K27" s="124">
        <f t="shared" si="12"/>
        <v>7872791.500387012</v>
      </c>
      <c r="L27" s="124">
        <f t="shared" si="13"/>
        <v>7990883.3728928175</v>
      </c>
      <c r="M27" s="124">
        <f t="shared" si="14"/>
        <v>8110746.6234862097</v>
      </c>
      <c r="N27" s="124">
        <f t="shared" si="15"/>
        <v>8232407.8228385029</v>
      </c>
      <c r="O27" s="124">
        <f t="shared" si="16"/>
        <v>8355893.9401810803</v>
      </c>
      <c r="P27" s="124">
        <f t="shared" si="17"/>
        <v>8481232.3492837958</v>
      </c>
      <c r="Q27" s="124">
        <f t="shared" si="18"/>
        <v>8608450.834523052</v>
      </c>
    </row>
    <row r="28" spans="1:17">
      <c r="A28" s="115" t="s">
        <v>11</v>
      </c>
      <c r="B28" s="105" t="s">
        <v>120</v>
      </c>
      <c r="C28" s="106"/>
      <c r="D28" s="177">
        <f>D29</f>
        <v>609523.80952380947</v>
      </c>
      <c r="E28" s="221"/>
      <c r="F28" s="203">
        <f t="shared" ref="F28:Q28" si="19">F29</f>
        <v>658285.7142857142</v>
      </c>
      <c r="G28" s="177">
        <f t="shared" si="19"/>
        <v>710948.57142857136</v>
      </c>
      <c r="H28" s="177">
        <f t="shared" si="19"/>
        <v>767824.45714285702</v>
      </c>
      <c r="I28" s="177">
        <f t="shared" si="19"/>
        <v>829250.41371428559</v>
      </c>
      <c r="J28" s="177">
        <f t="shared" si="19"/>
        <v>895590.44681142841</v>
      </c>
      <c r="K28" s="177">
        <f t="shared" si="19"/>
        <v>967237.68255634268</v>
      </c>
      <c r="L28" s="177">
        <f t="shared" si="19"/>
        <v>1044616.69716085</v>
      </c>
      <c r="M28" s="177">
        <f t="shared" si="19"/>
        <v>1128186.0329337181</v>
      </c>
      <c r="N28" s="177">
        <f t="shared" si="19"/>
        <v>1218440.9155684155</v>
      </c>
      <c r="O28" s="177">
        <f t="shared" si="19"/>
        <v>1315916.1888138887</v>
      </c>
      <c r="P28" s="177">
        <f t="shared" si="19"/>
        <v>1421189.4839189998</v>
      </c>
      <c r="Q28" s="177">
        <f t="shared" si="19"/>
        <v>1534884.6426325198</v>
      </c>
    </row>
    <row r="29" spans="1:17">
      <c r="A29" s="95">
        <v>3</v>
      </c>
      <c r="B29" s="32" t="s">
        <v>184</v>
      </c>
      <c r="C29" s="107" t="s">
        <v>25</v>
      </c>
      <c r="D29" s="176">
        <f>('Salary and Wages Estimation'!D11*10^6)*20000/84000</f>
        <v>609523.80952380947</v>
      </c>
      <c r="E29" s="222"/>
      <c r="F29" s="202">
        <f>D29+D29*8%</f>
        <v>658285.7142857142</v>
      </c>
      <c r="G29" s="124">
        <f t="shared" ref="G29" si="20">F29+F29*8%</f>
        <v>710948.57142857136</v>
      </c>
      <c r="H29" s="124">
        <f t="shared" ref="H29" si="21">G29+G29*8%</f>
        <v>767824.45714285702</v>
      </c>
      <c r="I29" s="124">
        <f t="shared" ref="I29" si="22">H29+H29*8%</f>
        <v>829250.41371428559</v>
      </c>
      <c r="J29" s="124">
        <f t="shared" ref="J29" si="23">I29+I29*8%</f>
        <v>895590.44681142841</v>
      </c>
      <c r="K29" s="124">
        <f t="shared" ref="K29" si="24">J29+J29*8%</f>
        <v>967237.68255634268</v>
      </c>
      <c r="L29" s="124">
        <f t="shared" ref="L29" si="25">K29+K29*8%</f>
        <v>1044616.69716085</v>
      </c>
      <c r="M29" s="124">
        <f t="shared" ref="M29" si="26">L29+L29*8%</f>
        <v>1128186.0329337181</v>
      </c>
      <c r="N29" s="124">
        <f t="shared" ref="N29" si="27">M29+M29*8%</f>
        <v>1218440.9155684155</v>
      </c>
      <c r="O29" s="124">
        <f t="shared" ref="O29" si="28">N29+N29*8%</f>
        <v>1315916.1888138887</v>
      </c>
      <c r="P29" s="124">
        <f t="shared" ref="P29" si="29">O29+O29*8%</f>
        <v>1421189.4839189998</v>
      </c>
      <c r="Q29" s="124">
        <f t="shared" ref="Q29" si="30">P29+P29*8%</f>
        <v>1534884.6426325198</v>
      </c>
    </row>
    <row r="30" spans="1:17">
      <c r="A30" s="115" t="s">
        <v>33</v>
      </c>
      <c r="B30" s="105" t="s">
        <v>160</v>
      </c>
      <c r="C30" s="106"/>
      <c r="D30" s="178">
        <f>D31+D32</f>
        <v>3073873.317099567</v>
      </c>
      <c r="E30" s="221"/>
    </row>
    <row r="31" spans="1:17">
      <c r="A31" s="116">
        <v>4</v>
      </c>
      <c r="B31" s="32" t="s">
        <v>183</v>
      </c>
      <c r="C31" s="251">
        <v>96.2</v>
      </c>
      <c r="D31" s="179">
        <f>20000*C31</f>
        <v>1924000</v>
      </c>
      <c r="E31" s="223" t="s">
        <v>359</v>
      </c>
    </row>
    <row r="32" spans="1:17">
      <c r="A32" s="95">
        <v>5</v>
      </c>
      <c r="B32" s="32" t="s">
        <v>180</v>
      </c>
      <c r="C32" s="176">
        <v>4829467.9318181816</v>
      </c>
      <c r="D32" s="176">
        <f>C32*20/84</f>
        <v>1149873.317099567</v>
      </c>
      <c r="E32" s="222"/>
    </row>
    <row r="33" spans="1:17">
      <c r="A33" s="115" t="s">
        <v>170</v>
      </c>
      <c r="B33" s="105" t="s">
        <v>161</v>
      </c>
      <c r="C33" s="106"/>
      <c r="D33" s="178">
        <f>SUM(D34:D36)</f>
        <v>665272.34788095253</v>
      </c>
      <c r="E33" s="221"/>
    </row>
    <row r="34" spans="1:17">
      <c r="A34" s="95">
        <v>6</v>
      </c>
      <c r="B34" s="120" t="s">
        <v>186</v>
      </c>
      <c r="C34" s="121">
        <v>2.5000000000000001E-2</v>
      </c>
      <c r="D34" s="176">
        <f>Capex!D$19*'Opex Segmental(84 KTPA)'!C34*20000/84000</f>
        <v>212925.32428571433</v>
      </c>
      <c r="E34" s="222"/>
    </row>
    <row r="35" spans="1:17">
      <c r="A35" s="95">
        <v>7</v>
      </c>
      <c r="B35" s="120" t="s">
        <v>285</v>
      </c>
      <c r="C35" s="121">
        <v>0.45</v>
      </c>
      <c r="D35" s="182">
        <f>(D29+D34)*C35</f>
        <v>370102.11021428573</v>
      </c>
      <c r="E35" s="222"/>
    </row>
    <row r="36" spans="1:17">
      <c r="A36" s="95">
        <v>8</v>
      </c>
      <c r="B36" s="120" t="s">
        <v>286</v>
      </c>
      <c r="C36" s="121">
        <v>0.1</v>
      </c>
      <c r="D36" s="182">
        <f>(D29+D34)*C36</f>
        <v>82244.913380952377</v>
      </c>
      <c r="E36" s="222"/>
    </row>
    <row r="37" spans="1:17">
      <c r="A37" s="115" t="s">
        <v>4</v>
      </c>
      <c r="B37" s="122" t="s">
        <v>162</v>
      </c>
      <c r="C37" s="123"/>
      <c r="D37" s="178">
        <f>SUM(D38:D39)</f>
        <v>6284240.3369405195</v>
      </c>
      <c r="E37" s="221"/>
    </row>
    <row r="38" spans="1:17">
      <c r="A38" s="95">
        <v>9</v>
      </c>
      <c r="B38" s="120" t="s">
        <v>185</v>
      </c>
      <c r="C38" s="121">
        <v>0.1</v>
      </c>
      <c r="D38" s="176">
        <f>D24*C38</f>
        <v>5236866.9474504329</v>
      </c>
      <c r="E38" s="222"/>
    </row>
    <row r="39" spans="1:17">
      <c r="A39" s="95">
        <v>10</v>
      </c>
      <c r="B39" s="120" t="s">
        <v>182</v>
      </c>
      <c r="C39" s="121">
        <v>0.02</v>
      </c>
      <c r="D39" s="176">
        <f>D24*C39</f>
        <v>1047373.3894900865</v>
      </c>
      <c r="E39" s="222"/>
    </row>
    <row r="40" spans="1:17" ht="15.75" thickBot="1">
      <c r="A40" s="117"/>
      <c r="B40" s="118" t="s">
        <v>171</v>
      </c>
      <c r="C40" s="119"/>
      <c r="D40" s="212">
        <f>D37+D24</f>
        <v>58652909.811444841</v>
      </c>
      <c r="E40" s="225"/>
    </row>
    <row r="41" spans="1:17" s="205" customFormat="1">
      <c r="A41" s="337" t="s">
        <v>287</v>
      </c>
      <c r="B41" s="337"/>
      <c r="C41" s="337"/>
      <c r="D41" s="337"/>
      <c r="E41" s="213">
        <f>D40/20000</f>
        <v>2932.6454905722421</v>
      </c>
    </row>
    <row r="42" spans="1:17">
      <c r="A42" s="335" t="s">
        <v>332</v>
      </c>
      <c r="B42" s="335"/>
      <c r="C42" s="335"/>
      <c r="D42" s="335"/>
      <c r="E42" s="335"/>
    </row>
    <row r="43" spans="1:17">
      <c r="A43" s="226"/>
      <c r="B43" s="227" t="s">
        <v>277</v>
      </c>
      <c r="C43" s="228"/>
      <c r="D43" s="198" t="s">
        <v>9</v>
      </c>
      <c r="E43" s="229"/>
    </row>
    <row r="44" spans="1:17">
      <c r="A44" s="113" t="s">
        <v>3</v>
      </c>
      <c r="B44" s="87" t="s">
        <v>20</v>
      </c>
      <c r="C44" s="86"/>
      <c r="D44" s="199">
        <f>+D45+D48+D50+D53</f>
        <v>15861200.842351299</v>
      </c>
      <c r="E44" s="220"/>
    </row>
    <row r="45" spans="1:17">
      <c r="A45" s="115" t="s">
        <v>10</v>
      </c>
      <c r="B45" s="105" t="s">
        <v>169</v>
      </c>
      <c r="C45" s="106"/>
      <c r="D45" s="175">
        <f>D46+D47</f>
        <v>14550000</v>
      </c>
      <c r="E45" s="221"/>
      <c r="F45" s="201">
        <f>F46+F47</f>
        <v>14768250</v>
      </c>
      <c r="G45" s="185">
        <f t="shared" ref="G45:Q45" si="31">G46+G47</f>
        <v>14989773.75</v>
      </c>
      <c r="H45" s="185">
        <f t="shared" si="31"/>
        <v>15214620.356249999</v>
      </c>
      <c r="I45" s="185">
        <f t="shared" si="31"/>
        <v>15442839.66159375</v>
      </c>
      <c r="J45" s="185">
        <f t="shared" si="31"/>
        <v>15674482.256517654</v>
      </c>
      <c r="K45" s="185">
        <f t="shared" si="31"/>
        <v>15909599.49036542</v>
      </c>
      <c r="L45" s="185">
        <f t="shared" si="31"/>
        <v>16148243.482720902</v>
      </c>
      <c r="M45" s="185">
        <f t="shared" si="31"/>
        <v>16390467.134961715</v>
      </c>
      <c r="N45" s="185">
        <f t="shared" si="31"/>
        <v>16636324.141986141</v>
      </c>
      <c r="O45" s="185">
        <f t="shared" si="31"/>
        <v>16885869.004115932</v>
      </c>
      <c r="P45" s="185">
        <f t="shared" si="31"/>
        <v>17139157.039177671</v>
      </c>
      <c r="Q45" s="185">
        <f t="shared" si="31"/>
        <v>17396244.394765336</v>
      </c>
    </row>
    <row r="46" spans="1:17">
      <c r="A46" s="31">
        <v>1</v>
      </c>
      <c r="B46" s="32" t="s">
        <v>169</v>
      </c>
      <c r="C46" s="107"/>
      <c r="D46" s="176">
        <f>(2120*6000)</f>
        <v>12720000</v>
      </c>
      <c r="E46" s="222"/>
      <c r="F46" s="202">
        <f>D46+D46*1.5%</f>
        <v>12910800</v>
      </c>
      <c r="G46" s="124">
        <f t="shared" ref="G46:G47" si="32">F46+F46*1.5%</f>
        <v>13104462</v>
      </c>
      <c r="H46" s="124">
        <f t="shared" ref="H46:H47" si="33">G46+G46*1.5%</f>
        <v>13301028.93</v>
      </c>
      <c r="I46" s="124">
        <f t="shared" ref="I46:I47" si="34">H46+H46*1.5%</f>
        <v>13500544.363949999</v>
      </c>
      <c r="J46" s="124">
        <f t="shared" ref="J46:J47" si="35">I46+I46*1.5%</f>
        <v>13703052.529409248</v>
      </c>
      <c r="K46" s="124">
        <f t="shared" ref="K46:K47" si="36">J46+J46*1.5%</f>
        <v>13908598.317350388</v>
      </c>
      <c r="L46" s="124">
        <f t="shared" ref="L46:L47" si="37">K46+K46*1.5%</f>
        <v>14117227.292110644</v>
      </c>
      <c r="M46" s="124">
        <f t="shared" ref="M46:M47" si="38">L46+L46*1.5%</f>
        <v>14328985.701492304</v>
      </c>
      <c r="N46" s="124">
        <f t="shared" ref="N46:N47" si="39">M46+M46*1.5%</f>
        <v>14543920.487014689</v>
      </c>
      <c r="O46" s="124">
        <f t="shared" ref="O46:O47" si="40">N46+N46*1.5%</f>
        <v>14762079.294319909</v>
      </c>
      <c r="P46" s="124">
        <f t="shared" ref="P46:P47" si="41">O46+O46*1.5%</f>
        <v>14983510.483734708</v>
      </c>
      <c r="Q46" s="124">
        <f t="shared" ref="Q46:Q47" si="42">P46+P46*1.5%</f>
        <v>15208263.140990729</v>
      </c>
    </row>
    <row r="47" spans="1:17">
      <c r="A47" s="31">
        <v>2</v>
      </c>
      <c r="B47" s="32" t="s">
        <v>181</v>
      </c>
      <c r="C47" s="107"/>
      <c r="D47" s="176">
        <f>(305*6000)</f>
        <v>1830000</v>
      </c>
      <c r="E47" s="222"/>
      <c r="F47" s="202">
        <f>D47+D47*1.5%</f>
        <v>1857450</v>
      </c>
      <c r="G47" s="124">
        <f t="shared" si="32"/>
        <v>1885311.75</v>
      </c>
      <c r="H47" s="124">
        <f t="shared" si="33"/>
        <v>1913591.42625</v>
      </c>
      <c r="I47" s="124">
        <f t="shared" si="34"/>
        <v>1942295.29764375</v>
      </c>
      <c r="J47" s="124">
        <f t="shared" si="35"/>
        <v>1971429.7271084061</v>
      </c>
      <c r="K47" s="124">
        <f t="shared" si="36"/>
        <v>2001001.1730150322</v>
      </c>
      <c r="L47" s="124">
        <f t="shared" si="37"/>
        <v>2031016.1906102577</v>
      </c>
      <c r="M47" s="124">
        <f t="shared" si="38"/>
        <v>2061481.4334694115</v>
      </c>
      <c r="N47" s="124">
        <f t="shared" si="39"/>
        <v>2092403.6549714527</v>
      </c>
      <c r="O47" s="124">
        <f t="shared" si="40"/>
        <v>2123789.7097960245</v>
      </c>
      <c r="P47" s="124">
        <f t="shared" si="41"/>
        <v>2155646.5554429647</v>
      </c>
      <c r="Q47" s="124">
        <f t="shared" si="42"/>
        <v>2187981.253774609</v>
      </c>
    </row>
    <row r="48" spans="1:17">
      <c r="A48" s="183" t="s">
        <v>11</v>
      </c>
      <c r="B48" s="105" t="s">
        <v>120</v>
      </c>
      <c r="C48" s="106"/>
      <c r="D48" s="178">
        <f>D49</f>
        <v>182857.14285714287</v>
      </c>
      <c r="E48" s="221"/>
      <c r="F48" s="203">
        <f t="shared" ref="F48:Q48" si="43">F49</f>
        <v>197485.71428571429</v>
      </c>
      <c r="G48" s="177">
        <f t="shared" si="43"/>
        <v>213284.57142857142</v>
      </c>
      <c r="H48" s="177">
        <f t="shared" si="43"/>
        <v>230347.33714285714</v>
      </c>
      <c r="I48" s="177">
        <f t="shared" si="43"/>
        <v>248775.12411428572</v>
      </c>
      <c r="J48" s="177">
        <f t="shared" si="43"/>
        <v>268677.13404342858</v>
      </c>
      <c r="K48" s="177">
        <f t="shared" si="43"/>
        <v>290171.30476690287</v>
      </c>
      <c r="L48" s="177">
        <f t="shared" si="43"/>
        <v>313385.00914825511</v>
      </c>
      <c r="M48" s="177">
        <f t="shared" si="43"/>
        <v>338455.8098801155</v>
      </c>
      <c r="N48" s="177">
        <f t="shared" si="43"/>
        <v>365532.27467052476</v>
      </c>
      <c r="O48" s="177">
        <f t="shared" si="43"/>
        <v>394774.85664416675</v>
      </c>
      <c r="P48" s="177">
        <f t="shared" si="43"/>
        <v>426356.84517570009</v>
      </c>
      <c r="Q48" s="177">
        <f t="shared" si="43"/>
        <v>460465.39278975606</v>
      </c>
    </row>
    <row r="49" spans="1:17">
      <c r="A49" s="31">
        <v>3</v>
      </c>
      <c r="B49" s="32" t="s">
        <v>184</v>
      </c>
      <c r="C49" s="107"/>
      <c r="D49" s="176">
        <f>('Salary and Wages Estimation'!D11*10^6)*6000/84000</f>
        <v>182857.14285714287</v>
      </c>
      <c r="E49" s="222"/>
      <c r="F49" s="202">
        <f>D49+D49*8%</f>
        <v>197485.71428571429</v>
      </c>
      <c r="G49" s="124">
        <f t="shared" ref="G49" si="44">F49+F49*8%</f>
        <v>213284.57142857142</v>
      </c>
      <c r="H49" s="124">
        <f t="shared" ref="H49" si="45">G49+G49*8%</f>
        <v>230347.33714285714</v>
      </c>
      <c r="I49" s="124">
        <f t="shared" ref="I49" si="46">H49+H49*8%</f>
        <v>248775.12411428572</v>
      </c>
      <c r="J49" s="124">
        <f t="shared" ref="J49" si="47">I49+I49*8%</f>
        <v>268677.13404342858</v>
      </c>
      <c r="K49" s="124">
        <f t="shared" ref="K49" si="48">J49+J49*8%</f>
        <v>290171.30476690287</v>
      </c>
      <c r="L49" s="124">
        <f t="shared" ref="L49" si="49">K49+K49*8%</f>
        <v>313385.00914825511</v>
      </c>
      <c r="M49" s="124">
        <f t="shared" ref="M49" si="50">L49+L49*8%</f>
        <v>338455.8098801155</v>
      </c>
      <c r="N49" s="124">
        <f t="shared" ref="N49" si="51">M49+M49*8%</f>
        <v>365532.27467052476</v>
      </c>
      <c r="O49" s="124">
        <f t="shared" ref="O49" si="52">N49+N49*8%</f>
        <v>394774.85664416675</v>
      </c>
      <c r="P49" s="124">
        <f t="shared" ref="P49" si="53">O49+O49*8%</f>
        <v>426356.84517570009</v>
      </c>
      <c r="Q49" s="124">
        <f t="shared" ref="Q49" si="54">P49+P49*8%</f>
        <v>460465.39278975606</v>
      </c>
    </row>
    <row r="50" spans="1:17">
      <c r="A50" s="115" t="s">
        <v>33</v>
      </c>
      <c r="B50" s="105" t="s">
        <v>160</v>
      </c>
      <c r="C50" s="106"/>
      <c r="D50" s="178">
        <f>D51+D52</f>
        <v>928761.99512987013</v>
      </c>
      <c r="E50" s="221"/>
    </row>
    <row r="51" spans="1:17">
      <c r="A51" s="116">
        <v>4</v>
      </c>
      <c r="B51" s="32" t="s">
        <v>183</v>
      </c>
      <c r="C51" s="251">
        <v>97.3</v>
      </c>
      <c r="D51" s="179">
        <f>6000*C51</f>
        <v>583800</v>
      </c>
      <c r="E51" s="223" t="s">
        <v>359</v>
      </c>
    </row>
    <row r="52" spans="1:17">
      <c r="A52" s="95">
        <v>5</v>
      </c>
      <c r="B52" s="32" t="s">
        <v>180</v>
      </c>
      <c r="C52" s="176">
        <v>4829467.9318181816</v>
      </c>
      <c r="D52" s="176">
        <f>C52*6/84</f>
        <v>344961.99512987013</v>
      </c>
      <c r="E52" s="222"/>
      <c r="G52" s="217"/>
    </row>
    <row r="53" spans="1:17">
      <c r="A53" s="115" t="s">
        <v>170</v>
      </c>
      <c r="B53" s="105" t="s">
        <v>161</v>
      </c>
      <c r="C53" s="106"/>
      <c r="D53" s="178">
        <f>SUM(D54:D56)</f>
        <v>199581.70436428575</v>
      </c>
      <c r="E53" s="221"/>
    </row>
    <row r="54" spans="1:17">
      <c r="A54" s="95">
        <v>6</v>
      </c>
      <c r="B54" s="120" t="s">
        <v>186</v>
      </c>
      <c r="C54" s="121">
        <v>2.5000000000000001E-2</v>
      </c>
      <c r="D54" s="176">
        <f>Capex!D$19*'Opex Segmental(84 KTPA)'!C54*6000/84000</f>
        <v>63877.597285714299</v>
      </c>
      <c r="E54" s="222"/>
    </row>
    <row r="55" spans="1:17">
      <c r="A55" s="95">
        <v>7</v>
      </c>
      <c r="B55" s="120" t="s">
        <v>285</v>
      </c>
      <c r="C55" s="121">
        <v>0.45</v>
      </c>
      <c r="D55" s="182">
        <f>(D49+D54)*C55</f>
        <v>111030.63306428572</v>
      </c>
      <c r="E55" s="222"/>
    </row>
    <row r="56" spans="1:17">
      <c r="A56" s="95">
        <v>8</v>
      </c>
      <c r="B56" s="120" t="s">
        <v>286</v>
      </c>
      <c r="C56" s="121">
        <v>0.1</v>
      </c>
      <c r="D56" s="182">
        <f>(D49+D54)*C56</f>
        <v>24673.474014285719</v>
      </c>
      <c r="E56" s="222"/>
    </row>
    <row r="57" spans="1:17">
      <c r="A57" s="115" t="s">
        <v>4</v>
      </c>
      <c r="B57" s="122" t="s">
        <v>162</v>
      </c>
      <c r="C57" s="123"/>
      <c r="D57" s="178">
        <f>SUM(D58:D59)</f>
        <v>1903344.1010821559</v>
      </c>
      <c r="E57" s="221"/>
    </row>
    <row r="58" spans="1:17">
      <c r="A58" s="95">
        <v>9</v>
      </c>
      <c r="B58" s="120" t="s">
        <v>185</v>
      </c>
      <c r="C58" s="121">
        <v>0.1</v>
      </c>
      <c r="D58" s="176">
        <f>D44*C58</f>
        <v>1586120.0842351299</v>
      </c>
      <c r="E58" s="222"/>
    </row>
    <row r="59" spans="1:17">
      <c r="A59" s="95">
        <v>10</v>
      </c>
      <c r="B59" s="120" t="s">
        <v>182</v>
      </c>
      <c r="C59" s="121">
        <v>0.02</v>
      </c>
      <c r="D59" s="176">
        <f>D44*C59</f>
        <v>317224.01684702601</v>
      </c>
      <c r="E59" s="222"/>
    </row>
    <row r="60" spans="1:17" ht="15.75" thickBot="1">
      <c r="A60" s="117"/>
      <c r="B60" s="215" t="s">
        <v>171</v>
      </c>
      <c r="C60" s="216" t="s">
        <v>253</v>
      </c>
      <c r="D60" s="204">
        <f>D57+D44</f>
        <v>17764544.943433456</v>
      </c>
      <c r="E60" s="204">
        <f>D60/6000</f>
        <v>2960.7574905722427</v>
      </c>
    </row>
    <row r="61" spans="1:17">
      <c r="E61" s="230"/>
    </row>
    <row r="62" spans="1:17" ht="15.75" thickBot="1">
      <c r="A62" s="335" t="s">
        <v>331</v>
      </c>
      <c r="B62" s="335"/>
      <c r="C62" s="335"/>
      <c r="D62" s="335"/>
      <c r="E62" s="335"/>
    </row>
    <row r="63" spans="1:17">
      <c r="A63" s="109"/>
      <c r="B63" s="110" t="s">
        <v>250</v>
      </c>
      <c r="C63" s="111"/>
      <c r="D63" s="200" t="s">
        <v>9</v>
      </c>
      <c r="E63" s="219"/>
    </row>
    <row r="64" spans="1:17">
      <c r="A64" s="113" t="s">
        <v>3</v>
      </c>
      <c r="B64" s="87" t="s">
        <v>20</v>
      </c>
      <c r="C64" s="86"/>
      <c r="D64" s="199">
        <f>+D65+D68+D70+D73</f>
        <v>48101968.632153027</v>
      </c>
      <c r="E64" s="220"/>
    </row>
    <row r="65" spans="1:17">
      <c r="A65" s="183" t="s">
        <v>10</v>
      </c>
      <c r="B65" s="105" t="s">
        <v>169</v>
      </c>
      <c r="C65" s="106"/>
      <c r="D65" s="184">
        <f>D66+D67</f>
        <v>45808000</v>
      </c>
      <c r="E65" s="221"/>
      <c r="F65" s="201">
        <f>F66+F67</f>
        <v>46495120</v>
      </c>
      <c r="G65" s="185">
        <f t="shared" ref="G65:Q65" si="55">G66+G67</f>
        <v>47192546.799999997</v>
      </c>
      <c r="H65" s="185">
        <f t="shared" si="55"/>
        <v>47900435.001999997</v>
      </c>
      <c r="I65" s="185">
        <f t="shared" si="55"/>
        <v>48618941.527029999</v>
      </c>
      <c r="J65" s="185">
        <f t="shared" si="55"/>
        <v>49348225.649935447</v>
      </c>
      <c r="K65" s="185">
        <f t="shared" si="55"/>
        <v>50088449.034684472</v>
      </c>
      <c r="L65" s="185">
        <f t="shared" si="55"/>
        <v>50839775.770204738</v>
      </c>
      <c r="M65" s="185">
        <f t="shared" si="55"/>
        <v>51602372.406757809</v>
      </c>
      <c r="N65" s="185">
        <f t="shared" si="55"/>
        <v>52376407.992859177</v>
      </c>
      <c r="O65" s="185">
        <f t="shared" si="55"/>
        <v>53162054.112752065</v>
      </c>
      <c r="P65" s="185">
        <f t="shared" si="55"/>
        <v>53959484.924443349</v>
      </c>
      <c r="Q65" s="185">
        <f t="shared" si="55"/>
        <v>54768877.198310003</v>
      </c>
    </row>
    <row r="66" spans="1:17">
      <c r="A66" s="31">
        <v>1</v>
      </c>
      <c r="B66" s="32" t="s">
        <v>169</v>
      </c>
      <c r="C66" s="107" t="s">
        <v>25</v>
      </c>
      <c r="D66" s="182">
        <f>(2900*14000)</f>
        <v>40600000</v>
      </c>
      <c r="E66" s="222"/>
      <c r="F66" s="202">
        <f>D66+D66*1.5%</f>
        <v>41209000</v>
      </c>
      <c r="G66" s="124">
        <f t="shared" ref="G66:G67" si="56">F66+F66*1.5%</f>
        <v>41827135</v>
      </c>
      <c r="H66" s="124">
        <f t="shared" ref="H66:H67" si="57">G66+G66*1.5%</f>
        <v>42454542.024999999</v>
      </c>
      <c r="I66" s="124">
        <f t="shared" ref="I66:I67" si="58">H66+H66*1.5%</f>
        <v>43091360.155374996</v>
      </c>
      <c r="J66" s="124">
        <f t="shared" ref="J66:J67" si="59">I66+I66*1.5%</f>
        <v>43737730.557705618</v>
      </c>
      <c r="K66" s="124">
        <f t="shared" ref="K66:K67" si="60">J66+J66*1.5%</f>
        <v>44393796.5160712</v>
      </c>
      <c r="L66" s="124">
        <f t="shared" ref="L66:L67" si="61">K66+K66*1.5%</f>
        <v>45059703.463812269</v>
      </c>
      <c r="M66" s="124">
        <f t="shared" ref="M66:M67" si="62">L66+L66*1.5%</f>
        <v>45735599.015769452</v>
      </c>
      <c r="N66" s="124">
        <f t="shared" ref="N66:N67" si="63">M66+M66*1.5%</f>
        <v>46421633.001005992</v>
      </c>
      <c r="O66" s="124">
        <f t="shared" ref="O66:O67" si="64">N66+N66*1.5%</f>
        <v>47117957.496021084</v>
      </c>
      <c r="P66" s="124">
        <f t="shared" ref="P66:P67" si="65">O66+O66*1.5%</f>
        <v>47824726.858461402</v>
      </c>
      <c r="Q66" s="124">
        <f t="shared" ref="Q66:Q67" si="66">P66+P66*1.5%</f>
        <v>48542097.761338323</v>
      </c>
    </row>
    <row r="67" spans="1:17">
      <c r="A67" s="31">
        <v>2</v>
      </c>
      <c r="B67" s="32" t="s">
        <v>181</v>
      </c>
      <c r="C67" s="107"/>
      <c r="D67" s="182">
        <f>(372*14000)</f>
        <v>5208000</v>
      </c>
      <c r="E67" s="222"/>
      <c r="F67" s="202">
        <f>D67+D67*1.5%</f>
        <v>5286120</v>
      </c>
      <c r="G67" s="124">
        <f t="shared" si="56"/>
        <v>5365411.8</v>
      </c>
      <c r="H67" s="124">
        <f t="shared" si="57"/>
        <v>5445892.977</v>
      </c>
      <c r="I67" s="124">
        <f t="shared" si="58"/>
        <v>5527581.3716550004</v>
      </c>
      <c r="J67" s="124">
        <f t="shared" si="59"/>
        <v>5610495.0922298254</v>
      </c>
      <c r="K67" s="124">
        <f t="shared" si="60"/>
        <v>5694652.5186132733</v>
      </c>
      <c r="L67" s="124">
        <f t="shared" si="61"/>
        <v>5780072.3063924722</v>
      </c>
      <c r="M67" s="124">
        <f t="shared" si="62"/>
        <v>5866773.3909883592</v>
      </c>
      <c r="N67" s="124">
        <f t="shared" si="63"/>
        <v>5954774.991853185</v>
      </c>
      <c r="O67" s="124">
        <f t="shared" si="64"/>
        <v>6044096.6167309824</v>
      </c>
      <c r="P67" s="124">
        <f t="shared" si="65"/>
        <v>6134758.0659819469</v>
      </c>
      <c r="Q67" s="124">
        <f t="shared" si="66"/>
        <v>6226779.4369716765</v>
      </c>
    </row>
    <row r="68" spans="1:17" ht="15.75" customHeight="1">
      <c r="A68" s="183" t="s">
        <v>11</v>
      </c>
      <c r="B68" s="105" t="s">
        <v>120</v>
      </c>
      <c r="C68" s="106"/>
      <c r="D68" s="184">
        <f>D69</f>
        <v>426666.66666666669</v>
      </c>
      <c r="E68" s="221"/>
      <c r="F68" s="203">
        <f t="shared" ref="F68:Q68" si="67">F69</f>
        <v>460800</v>
      </c>
      <c r="G68" s="177">
        <f t="shared" si="67"/>
        <v>497664</v>
      </c>
      <c r="H68" s="177">
        <f t="shared" si="67"/>
        <v>537477.12</v>
      </c>
      <c r="I68" s="177">
        <f t="shared" si="67"/>
        <v>580475.28960000002</v>
      </c>
      <c r="J68" s="177">
        <f t="shared" si="67"/>
        <v>626913.31276800006</v>
      </c>
      <c r="K68" s="177">
        <f t="shared" si="67"/>
        <v>677066.3777894401</v>
      </c>
      <c r="L68" s="177">
        <f t="shared" si="67"/>
        <v>731231.68801259529</v>
      </c>
      <c r="M68" s="177">
        <f t="shared" si="67"/>
        <v>789730.22305360297</v>
      </c>
      <c r="N68" s="177">
        <f t="shared" si="67"/>
        <v>852908.64089789125</v>
      </c>
      <c r="O68" s="177">
        <f t="shared" si="67"/>
        <v>921141.33216972253</v>
      </c>
      <c r="P68" s="177">
        <f t="shared" si="67"/>
        <v>994832.63874330034</v>
      </c>
      <c r="Q68" s="177">
        <f t="shared" si="67"/>
        <v>1074419.2498427643</v>
      </c>
    </row>
    <row r="69" spans="1:17">
      <c r="A69" s="31">
        <v>3</v>
      </c>
      <c r="B69" s="32" t="s">
        <v>184</v>
      </c>
      <c r="C69" s="107" t="s">
        <v>25</v>
      </c>
      <c r="D69" s="182">
        <f>('Salary and Wages Estimation'!D11*10^6)*14000/84000</f>
        <v>426666.66666666669</v>
      </c>
      <c r="E69" s="222"/>
      <c r="F69" s="202">
        <f>D69+D69*8%</f>
        <v>460800</v>
      </c>
      <c r="G69" s="124">
        <f t="shared" ref="G69" si="68">F69+F69*8%</f>
        <v>497664</v>
      </c>
      <c r="H69" s="124">
        <f t="shared" ref="H69" si="69">G69+G69*8%</f>
        <v>537477.12</v>
      </c>
      <c r="I69" s="124">
        <f t="shared" ref="I69" si="70">H69+H69*8%</f>
        <v>580475.28960000002</v>
      </c>
      <c r="J69" s="124">
        <f t="shared" ref="J69" si="71">I69+I69*8%</f>
        <v>626913.31276800006</v>
      </c>
      <c r="K69" s="124">
        <f t="shared" ref="K69" si="72">J69+J69*8%</f>
        <v>677066.3777894401</v>
      </c>
      <c r="L69" s="124">
        <f t="shared" ref="L69" si="73">K69+K69*8%</f>
        <v>731231.68801259529</v>
      </c>
      <c r="M69" s="124">
        <f t="shared" ref="M69" si="74">L69+L69*8%</f>
        <v>789730.22305360297</v>
      </c>
      <c r="N69" s="124">
        <f t="shared" ref="N69" si="75">M69+M69*8%</f>
        <v>852908.64089789125</v>
      </c>
      <c r="O69" s="124">
        <f t="shared" ref="O69" si="76">N69+N69*8%</f>
        <v>921141.33216972253</v>
      </c>
      <c r="P69" s="124">
        <f t="shared" ref="P69" si="77">O69+O69*8%</f>
        <v>994832.63874330034</v>
      </c>
      <c r="Q69" s="124">
        <f t="shared" ref="Q69" si="78">P69+P69*8%</f>
        <v>1074419.2498427643</v>
      </c>
    </row>
    <row r="70" spans="1:17">
      <c r="A70" s="183" t="s">
        <v>33</v>
      </c>
      <c r="B70" s="105" t="s">
        <v>160</v>
      </c>
      <c r="C70" s="106"/>
      <c r="D70" s="184">
        <f>D71+D72</f>
        <v>1401611.3219696968</v>
      </c>
      <c r="E70" s="221"/>
    </row>
    <row r="71" spans="1:17">
      <c r="A71" s="32">
        <v>4</v>
      </c>
      <c r="B71" s="32" t="s">
        <v>183</v>
      </c>
      <c r="C71" s="182">
        <v>99.45</v>
      </c>
      <c r="D71" s="179">
        <f>6000*C71</f>
        <v>596700</v>
      </c>
      <c r="E71" s="223"/>
    </row>
    <row r="72" spans="1:17">
      <c r="A72" s="31">
        <v>5</v>
      </c>
      <c r="B72" s="32" t="s">
        <v>180</v>
      </c>
      <c r="C72" s="182">
        <v>4829467.9318181816</v>
      </c>
      <c r="D72" s="182">
        <f>C72*14000/84000</f>
        <v>804911.3219696969</v>
      </c>
      <c r="E72" s="222"/>
    </row>
    <row r="73" spans="1:17">
      <c r="A73" s="183" t="s">
        <v>170</v>
      </c>
      <c r="B73" s="105" t="s">
        <v>161</v>
      </c>
      <c r="C73" s="106"/>
      <c r="D73" s="184">
        <f>SUM(D74:D76)</f>
        <v>465690.64351666666</v>
      </c>
      <c r="E73" s="221"/>
    </row>
    <row r="74" spans="1:17" ht="15.75" customHeight="1">
      <c r="A74" s="31">
        <v>6</v>
      </c>
      <c r="B74" s="120" t="s">
        <v>186</v>
      </c>
      <c r="C74" s="121">
        <v>2.5000000000000001E-2</v>
      </c>
      <c r="D74" s="182">
        <f>Capex!D$19*'Opex Segmental(84 KTPA)'!C74*14000/84000</f>
        <v>149047.72700000001</v>
      </c>
      <c r="E74" s="222"/>
    </row>
    <row r="75" spans="1:17" ht="15.75" customHeight="1">
      <c r="A75" s="31">
        <v>7</v>
      </c>
      <c r="B75" s="120" t="s">
        <v>285</v>
      </c>
      <c r="C75" s="121">
        <v>0.45</v>
      </c>
      <c r="D75" s="176">
        <f>(D69+D74)*C75</f>
        <v>259071.47715000002</v>
      </c>
      <c r="E75" s="222"/>
      <c r="F75" s="252">
        <f>(D79+D78+D71)/14000</f>
        <v>390.62142857142857</v>
      </c>
    </row>
    <row r="76" spans="1:17">
      <c r="A76" s="31">
        <v>8</v>
      </c>
      <c r="B76" s="120" t="s">
        <v>286</v>
      </c>
      <c r="C76" s="121">
        <v>0.1</v>
      </c>
      <c r="D76" s="182">
        <f>(D69+D74)*C76</f>
        <v>57571.439366666673</v>
      </c>
      <c r="E76" s="222"/>
    </row>
    <row r="77" spans="1:17">
      <c r="A77" s="183" t="s">
        <v>4</v>
      </c>
      <c r="B77" s="122" t="s">
        <v>162</v>
      </c>
      <c r="C77" s="123"/>
      <c r="D77" s="184">
        <f>SUM(D78:D79)</f>
        <v>4872000</v>
      </c>
      <c r="E77" s="221"/>
    </row>
    <row r="78" spans="1:17">
      <c r="A78" s="31">
        <v>9</v>
      </c>
      <c r="B78" s="120" t="s">
        <v>185</v>
      </c>
      <c r="C78" s="121">
        <v>0.1</v>
      </c>
      <c r="D78" s="182">
        <f>D66*C78</f>
        <v>4060000</v>
      </c>
      <c r="E78" s="222"/>
    </row>
    <row r="79" spans="1:17">
      <c r="A79" s="31">
        <v>10</v>
      </c>
      <c r="B79" s="120" t="s">
        <v>182</v>
      </c>
      <c r="C79" s="121">
        <v>0.02</v>
      </c>
      <c r="D79" s="182">
        <f>D66*C79</f>
        <v>812000</v>
      </c>
      <c r="E79" s="222"/>
    </row>
    <row r="80" spans="1:17">
      <c r="A80" s="214"/>
      <c r="B80" s="215" t="s">
        <v>171</v>
      </c>
      <c r="C80" s="216"/>
      <c r="D80" s="204">
        <f>D77+D64</f>
        <v>52973968.632153027</v>
      </c>
      <c r="E80" s="204">
        <f>D80/14000</f>
        <v>3783.8549022966449</v>
      </c>
    </row>
    <row r="81" spans="2:2">
      <c r="B81" s="157" t="s">
        <v>223</v>
      </c>
    </row>
    <row r="82" spans="2:2">
      <c r="B82" s="158" t="s">
        <v>224</v>
      </c>
    </row>
    <row r="83" spans="2:2">
      <c r="B83" s="158" t="s">
        <v>225</v>
      </c>
    </row>
    <row r="84" spans="2:2" ht="25.5">
      <c r="B84" s="158" t="s">
        <v>226</v>
      </c>
    </row>
    <row r="85" spans="2:2" ht="38.25">
      <c r="B85" s="158" t="s">
        <v>227</v>
      </c>
    </row>
    <row r="86" spans="2:2">
      <c r="B86" s="158" t="s">
        <v>228</v>
      </c>
    </row>
    <row r="87" spans="2:2" ht="38.25">
      <c r="B87" s="158" t="s">
        <v>229</v>
      </c>
    </row>
  </sheetData>
  <mergeCells count="6">
    <mergeCell ref="A2:E2"/>
    <mergeCell ref="A62:E62"/>
    <mergeCell ref="A21:D21"/>
    <mergeCell ref="A41:D41"/>
    <mergeCell ref="A42:E42"/>
    <mergeCell ref="A22:E22"/>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3EAE11-1321-45BD-9058-32E40861681D}">
  <dimension ref="A1:I24"/>
  <sheetViews>
    <sheetView zoomScale="74" zoomScaleNormal="74" workbookViewId="0">
      <selection activeCell="D11" sqref="D11"/>
    </sheetView>
  </sheetViews>
  <sheetFormatPr defaultRowHeight="15"/>
  <cols>
    <col min="1" max="1" width="11.42578125" customWidth="1"/>
    <col min="2" max="2" width="29.140625" customWidth="1"/>
    <col min="3" max="3" width="16" customWidth="1"/>
    <col min="4" max="4" width="24.42578125" customWidth="1"/>
    <col min="5" max="5" width="12" bestFit="1" customWidth="1"/>
    <col min="6" max="6" width="15" bestFit="1" customWidth="1"/>
    <col min="8" max="8" width="11.140625" bestFit="1" customWidth="1"/>
    <col min="9" max="9" width="13.28515625" bestFit="1" customWidth="1"/>
    <col min="11" max="11" width="12.85546875" bestFit="1" customWidth="1"/>
    <col min="16" max="16" width="12.85546875" bestFit="1" customWidth="1"/>
  </cols>
  <sheetData>
    <row r="1" spans="1:9" ht="15.75" thickBot="1">
      <c r="A1" s="3"/>
      <c r="B1" s="5" t="s">
        <v>12</v>
      </c>
      <c r="C1" s="3"/>
      <c r="D1" s="10" t="s">
        <v>9</v>
      </c>
      <c r="E1" t="s">
        <v>128</v>
      </c>
      <c r="F1" t="s">
        <v>122</v>
      </c>
    </row>
    <row r="2" spans="1:9">
      <c r="A2" s="6" t="s">
        <v>3</v>
      </c>
      <c r="B2" s="7" t="s">
        <v>20</v>
      </c>
      <c r="C2" s="6" t="s">
        <v>21</v>
      </c>
      <c r="D2" s="11">
        <f>D3+D13+D15</f>
        <v>194706132.31518477</v>
      </c>
    </row>
    <row r="3" spans="1:9">
      <c r="A3" s="36" t="s">
        <v>10</v>
      </c>
      <c r="B3" s="37" t="s">
        <v>22</v>
      </c>
      <c r="C3" s="36" t="s">
        <v>23</v>
      </c>
      <c r="D3" s="38">
        <f>SUM(D4:D12)</f>
        <v>193066871.22558478</v>
      </c>
    </row>
    <row r="4" spans="1:9">
      <c r="A4" s="31">
        <v>1</v>
      </c>
      <c r="B4" s="32" t="s">
        <v>24</v>
      </c>
      <c r="C4" s="31" t="s">
        <v>25</v>
      </c>
      <c r="D4" s="39">
        <f>(1950*84000)</f>
        <v>163800000</v>
      </c>
      <c r="E4" t="s">
        <v>121</v>
      </c>
      <c r="F4">
        <f>D4*73.3</f>
        <v>12006540000</v>
      </c>
    </row>
    <row r="5" spans="1:9">
      <c r="A5" s="31">
        <v>2</v>
      </c>
      <c r="B5" s="32" t="s">
        <v>26</v>
      </c>
      <c r="C5" s="31" t="s">
        <v>25</v>
      </c>
      <c r="D5" s="39">
        <f>D4*0.012</f>
        <v>1965600</v>
      </c>
      <c r="E5" t="s">
        <v>120</v>
      </c>
      <c r="F5">
        <f>D5*73.3</f>
        <v>144078480</v>
      </c>
    </row>
    <row r="6" spans="1:9" ht="24">
      <c r="A6" s="31">
        <v>3</v>
      </c>
      <c r="B6" s="32" t="s">
        <v>27</v>
      </c>
      <c r="C6" s="40">
        <v>0.17499999999999999</v>
      </c>
      <c r="D6" s="39">
        <f>D5*C6</f>
        <v>343980</v>
      </c>
      <c r="E6" t="s">
        <v>120</v>
      </c>
      <c r="F6">
        <f t="shared" ref="F6:F20" si="0">D6*73.3</f>
        <v>25213734</v>
      </c>
    </row>
    <row r="7" spans="1:9">
      <c r="A7" s="31">
        <v>4</v>
      </c>
      <c r="B7" s="32" t="s">
        <v>28</v>
      </c>
      <c r="C7" s="31" t="s">
        <v>25</v>
      </c>
      <c r="D7" s="39">
        <v>6027830.8321964536</v>
      </c>
      <c r="E7" t="s">
        <v>111</v>
      </c>
      <c r="F7">
        <f t="shared" si="0"/>
        <v>441840000.00000006</v>
      </c>
    </row>
    <row r="8" spans="1:9" ht="24">
      <c r="A8" s="31">
        <v>5</v>
      </c>
      <c r="B8" s="32" t="s">
        <v>109</v>
      </c>
      <c r="C8" s="40">
        <v>0.05</v>
      </c>
      <c r="D8" s="39">
        <f>Capex!D19*Opex!C8</f>
        <v>1788572.7240000004</v>
      </c>
      <c r="E8" t="s">
        <v>112</v>
      </c>
      <c r="F8">
        <f t="shared" si="0"/>
        <v>131102380.66920002</v>
      </c>
      <c r="G8">
        <f>Capex!D19*5%</f>
        <v>1788572.7240000004</v>
      </c>
    </row>
    <row r="9" spans="1:9" ht="24">
      <c r="A9" s="31">
        <v>6</v>
      </c>
      <c r="B9" s="32" t="s">
        <v>29</v>
      </c>
      <c r="C9" s="40">
        <v>0.15</v>
      </c>
      <c r="D9" s="39">
        <f>D8*C9</f>
        <v>268285.90860000002</v>
      </c>
      <c r="E9" t="s">
        <v>112</v>
      </c>
      <c r="F9">
        <f t="shared" si="0"/>
        <v>19665357.10038</v>
      </c>
    </row>
    <row r="10" spans="1:9" ht="24">
      <c r="A10" s="31">
        <v>7</v>
      </c>
      <c r="B10" s="32" t="s">
        <v>30</v>
      </c>
      <c r="C10" s="40">
        <v>0.15</v>
      </c>
      <c r="D10" s="39">
        <f>C10*D5</f>
        <v>294840</v>
      </c>
      <c r="E10" t="s">
        <v>112</v>
      </c>
      <c r="F10">
        <f t="shared" si="0"/>
        <v>21611772</v>
      </c>
    </row>
    <row r="11" spans="1:9" ht="24">
      <c r="A11" s="31">
        <v>8</v>
      </c>
      <c r="B11" s="32" t="s">
        <v>126</v>
      </c>
      <c r="C11" s="40">
        <v>0.05</v>
      </c>
      <c r="D11" s="39">
        <v>11598197.382196454</v>
      </c>
      <c r="E11" t="s">
        <v>111</v>
      </c>
      <c r="F11">
        <f>D11*73.3</f>
        <v>850147868.11500013</v>
      </c>
    </row>
    <row r="12" spans="1:9" ht="24">
      <c r="A12" s="31">
        <v>9</v>
      </c>
      <c r="B12" s="32" t="s">
        <v>31</v>
      </c>
      <c r="C12" s="40">
        <v>0.04</v>
      </c>
      <c r="D12" s="39">
        <f>C12*(D4+D5+D6+D7+D8+D9+D10)</f>
        <v>6979564.3785918579</v>
      </c>
      <c r="E12" t="s">
        <v>112</v>
      </c>
      <c r="F12">
        <f t="shared" si="0"/>
        <v>511602068.95078313</v>
      </c>
    </row>
    <row r="13" spans="1:9" ht="24">
      <c r="A13" s="36" t="s">
        <v>11</v>
      </c>
      <c r="B13" s="37" t="s">
        <v>32</v>
      </c>
      <c r="C13" s="36">
        <v>9</v>
      </c>
      <c r="D13" s="38">
        <f>SUM(D14:D14)</f>
        <v>0</v>
      </c>
      <c r="F13">
        <f t="shared" si="0"/>
        <v>0</v>
      </c>
    </row>
    <row r="14" spans="1:9">
      <c r="A14" s="31">
        <v>10</v>
      </c>
      <c r="B14" s="32"/>
      <c r="C14" s="40"/>
      <c r="D14" s="39"/>
      <c r="E14" t="s">
        <v>7</v>
      </c>
      <c r="F14">
        <f>D14*73.3</f>
        <v>0</v>
      </c>
    </row>
    <row r="15" spans="1:9" ht="26.25">
      <c r="A15" s="36" t="s">
        <v>33</v>
      </c>
      <c r="B15" s="37" t="s">
        <v>34</v>
      </c>
      <c r="C15" s="41">
        <v>0.4</v>
      </c>
      <c r="D15" s="38">
        <f>C15*(D5+D6+D8)</f>
        <v>1639261.0896000003</v>
      </c>
      <c r="E15" t="s">
        <v>112</v>
      </c>
      <c r="F15">
        <f t="shared" si="0"/>
        <v>120157837.86768001</v>
      </c>
      <c r="I15" s="4"/>
    </row>
    <row r="16" spans="1:9">
      <c r="A16" s="42" t="s">
        <v>4</v>
      </c>
      <c r="B16" s="43" t="s">
        <v>35</v>
      </c>
      <c r="C16" s="42" t="s">
        <v>36</v>
      </c>
      <c r="D16" s="44">
        <f>SUM(D17:D19)</f>
        <v>35661826.725333259</v>
      </c>
      <c r="F16">
        <f t="shared" si="0"/>
        <v>2614011898.9669275</v>
      </c>
    </row>
    <row r="17" spans="1:8" ht="28.5">
      <c r="A17" s="31">
        <v>11</v>
      </c>
      <c r="B17" s="32" t="s">
        <v>37</v>
      </c>
      <c r="C17" s="40">
        <v>0.15</v>
      </c>
      <c r="D17" s="39">
        <f>C17*(D5+D6+D8)</f>
        <v>614722.90860000008</v>
      </c>
      <c r="E17" t="s">
        <v>112</v>
      </c>
      <c r="F17">
        <f t="shared" si="0"/>
        <v>45059189.200380005</v>
      </c>
    </row>
    <row r="18" spans="1:8" ht="24">
      <c r="A18" s="31">
        <v>12</v>
      </c>
      <c r="B18" s="32" t="s">
        <v>38</v>
      </c>
      <c r="C18" s="40">
        <v>0.11</v>
      </c>
      <c r="D18" s="39">
        <f>C18*D2</f>
        <v>21417674.554670326</v>
      </c>
      <c r="E18" t="s">
        <v>111</v>
      </c>
      <c r="F18">
        <f t="shared" si="0"/>
        <v>1569915544.8573349</v>
      </c>
    </row>
    <row r="19" spans="1:8" ht="24">
      <c r="A19" s="31">
        <v>13</v>
      </c>
      <c r="B19" s="32" t="s">
        <v>107</v>
      </c>
      <c r="C19" s="40">
        <v>7.0000000000000007E-2</v>
      </c>
      <c r="D19" s="39">
        <f>C19*D2</f>
        <v>13629429.262062935</v>
      </c>
      <c r="E19" t="s">
        <v>112</v>
      </c>
      <c r="F19">
        <f t="shared" si="0"/>
        <v>999037164.90921307</v>
      </c>
    </row>
    <row r="20" spans="1:8">
      <c r="A20" s="45"/>
      <c r="B20" s="30" t="s">
        <v>39</v>
      </c>
      <c r="C20" s="29" t="s">
        <v>40</v>
      </c>
      <c r="D20" s="46">
        <f>D2+D16</f>
        <v>230367959.04051805</v>
      </c>
      <c r="F20">
        <f t="shared" si="0"/>
        <v>16885971397.669971</v>
      </c>
      <c r="G20">
        <f>D20/84000000</f>
        <v>2.74247570286331</v>
      </c>
      <c r="H20">
        <f>G20*73.3</f>
        <v>201.02346901988062</v>
      </c>
    </row>
    <row r="22" spans="1:8">
      <c r="A22" s="8"/>
      <c r="D22">
        <v>235829630.22656068</v>
      </c>
      <c r="G22">
        <f>D22*73.3/84000000</f>
        <v>205.78942732865352</v>
      </c>
      <c r="H22">
        <f>G22/73.3</f>
        <v>2.8074955979352461</v>
      </c>
    </row>
    <row r="23" spans="1:8">
      <c r="F23">
        <f>5436818</f>
        <v>5436818</v>
      </c>
    </row>
    <row r="24" spans="1:8">
      <c r="D24">
        <f>(D20*73.3)/10000000</f>
        <v>1688.5971397669971</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5E2718-A894-46C9-8AAC-B6F46A09F81E}">
  <dimension ref="A1:P27"/>
  <sheetViews>
    <sheetView showGridLines="0" workbookViewId="0">
      <selection activeCell="E21" sqref="E21"/>
    </sheetView>
  </sheetViews>
  <sheetFormatPr defaultRowHeight="15"/>
  <cols>
    <col min="1" max="1" width="4.28515625" bestFit="1" customWidth="1"/>
    <col min="2" max="2" width="85" customWidth="1"/>
    <col min="3" max="3" width="15.85546875" customWidth="1"/>
    <col min="4" max="4" width="20.85546875" customWidth="1"/>
    <col min="5" max="5" width="13.85546875" bestFit="1" customWidth="1"/>
    <col min="6" max="6" width="16.42578125" customWidth="1"/>
    <col min="7" max="7" width="14.7109375" customWidth="1"/>
    <col min="8" max="8" width="14.85546875" customWidth="1"/>
    <col min="9" max="9" width="14.5703125" customWidth="1"/>
    <col min="10" max="10" width="11.85546875" customWidth="1"/>
    <col min="11" max="11" width="12.28515625" customWidth="1"/>
    <col min="12" max="12" width="13.140625" customWidth="1"/>
    <col min="13" max="13" width="12" customWidth="1"/>
    <col min="14" max="14" width="15.7109375" customWidth="1"/>
    <col min="15" max="15" width="11.5703125" customWidth="1"/>
    <col min="16" max="16" width="13.5703125" customWidth="1"/>
  </cols>
  <sheetData>
    <row r="1" spans="1:16" ht="15.75" thickBot="1">
      <c r="D1" s="174">
        <v>2021</v>
      </c>
      <c r="E1" s="174">
        <v>2022</v>
      </c>
      <c r="F1" s="174">
        <v>2023</v>
      </c>
      <c r="G1" s="174">
        <v>2024</v>
      </c>
      <c r="H1" s="174">
        <v>2025</v>
      </c>
      <c r="I1" s="174">
        <v>2026</v>
      </c>
      <c r="J1" s="174">
        <v>2027</v>
      </c>
      <c r="K1" s="174">
        <v>2028</v>
      </c>
      <c r="L1" s="174">
        <v>2029</v>
      </c>
      <c r="M1" s="174">
        <v>2030</v>
      </c>
      <c r="N1" s="174">
        <v>2031</v>
      </c>
      <c r="O1" s="174">
        <v>2032</v>
      </c>
      <c r="P1" s="174">
        <v>2033</v>
      </c>
    </row>
    <row r="2" spans="1:16">
      <c r="A2" s="109"/>
      <c r="B2" s="110"/>
      <c r="C2" s="111"/>
      <c r="D2" s="112" t="s">
        <v>9</v>
      </c>
    </row>
    <row r="3" spans="1:16">
      <c r="A3" s="113" t="s">
        <v>3</v>
      </c>
      <c r="B3" s="87" t="s">
        <v>20</v>
      </c>
      <c r="C3" s="86" t="s">
        <v>251</v>
      </c>
      <c r="D3" s="114">
        <f>+D4+D7+D9+D12</f>
        <v>245061911.79291818</v>
      </c>
    </row>
    <row r="4" spans="1:16">
      <c r="A4" s="115" t="s">
        <v>10</v>
      </c>
      <c r="B4" s="105" t="s">
        <v>169</v>
      </c>
      <c r="C4" s="106"/>
      <c r="D4" s="175">
        <f>D5+D6</f>
        <v>227486000</v>
      </c>
      <c r="E4" s="185">
        <f>E5+E6</f>
        <v>230898290</v>
      </c>
      <c r="F4" s="185">
        <f t="shared" ref="F4:P4" si="0">F5+F6</f>
        <v>234361764.35000002</v>
      </c>
      <c r="G4" s="185">
        <f t="shared" si="0"/>
        <v>237877190.81524998</v>
      </c>
      <c r="H4" s="185">
        <f t="shared" si="0"/>
        <v>241445348.67747876</v>
      </c>
      <c r="I4" s="185">
        <f t="shared" si="0"/>
        <v>245067028.90764093</v>
      </c>
      <c r="J4" s="185">
        <f t="shared" si="0"/>
        <v>248743034.34125552</v>
      </c>
      <c r="K4" s="185">
        <f t="shared" si="0"/>
        <v>252474179.85637435</v>
      </c>
      <c r="L4" s="185">
        <f t="shared" si="0"/>
        <v>256261292.55421996</v>
      </c>
      <c r="M4" s="185">
        <f t="shared" si="0"/>
        <v>260105211.94253328</v>
      </c>
      <c r="N4" s="185">
        <f t="shared" si="0"/>
        <v>264006790.12167126</v>
      </c>
      <c r="O4" s="185">
        <f t="shared" si="0"/>
        <v>267966891.97349632</v>
      </c>
      <c r="P4" s="185">
        <f t="shared" si="0"/>
        <v>271986395.35309881</v>
      </c>
    </row>
    <row r="5" spans="1:16">
      <c r="A5" s="95">
        <v>1</v>
      </c>
      <c r="B5" s="32" t="s">
        <v>169</v>
      </c>
      <c r="C5" s="107" t="s">
        <v>25</v>
      </c>
      <c r="D5" s="176">
        <f>'Opex Segmental(84 KTPA)'!D6+'Opex Segmental(84 KTPA)'!D26+'Opex Segmental(84 KTPA)'!D46+'Opex Segmental(84 KTPA)'!D66</f>
        <v>197848000</v>
      </c>
      <c r="E5" s="176">
        <f>'Opex Segmental(84 KTPA)'!F5+'Opex Segmental(84 KTPA)'!F26+'Opex Segmental(84 KTPA)'!F46+'Opex Segmental(84 KTPA)'!F66</f>
        <v>200815720</v>
      </c>
      <c r="F5" s="176">
        <f>'Opex Segmental(84 KTPA)'!G5+'Opex Segmental(84 KTPA)'!G26+'Opex Segmental(84 KTPA)'!G46+'Opex Segmental(84 KTPA)'!G66</f>
        <v>203827955.80000001</v>
      </c>
      <c r="G5" s="176">
        <f>'Opex Segmental(84 KTPA)'!H5+'Opex Segmental(84 KTPA)'!H26+'Opex Segmental(84 KTPA)'!H46+'Opex Segmental(84 KTPA)'!H66</f>
        <v>206885375.13699999</v>
      </c>
      <c r="H5" s="176">
        <f>'Opex Segmental(84 KTPA)'!I5+'Opex Segmental(84 KTPA)'!I26+'Opex Segmental(84 KTPA)'!I46+'Opex Segmental(84 KTPA)'!I66</f>
        <v>209988655.76405501</v>
      </c>
      <c r="I5" s="176">
        <f>'Opex Segmental(84 KTPA)'!J5+'Opex Segmental(84 KTPA)'!J26+'Opex Segmental(84 KTPA)'!J46+'Opex Segmental(84 KTPA)'!J66</f>
        <v>213138485.60051581</v>
      </c>
      <c r="J5" s="176">
        <f>'Opex Segmental(84 KTPA)'!K5+'Opex Segmental(84 KTPA)'!K26+'Opex Segmental(84 KTPA)'!K46+'Opex Segmental(84 KTPA)'!K66</f>
        <v>216335562.88452354</v>
      </c>
      <c r="K5" s="176">
        <f>'Opex Segmental(84 KTPA)'!L5+'Opex Segmental(84 KTPA)'!L26+'Opex Segmental(84 KTPA)'!L46+'Opex Segmental(84 KTPA)'!L66</f>
        <v>219580596.32779139</v>
      </c>
      <c r="L5" s="176">
        <f>'Opex Segmental(84 KTPA)'!M5+'Opex Segmental(84 KTPA)'!M26+'Opex Segmental(84 KTPA)'!M46+'Opex Segmental(84 KTPA)'!M66</f>
        <v>222874305.27270827</v>
      </c>
      <c r="M5" s="176">
        <f>'Opex Segmental(84 KTPA)'!N5+'Opex Segmental(84 KTPA)'!N26+'Opex Segmental(84 KTPA)'!N46+'Opex Segmental(84 KTPA)'!N66</f>
        <v>226217419.85179889</v>
      </c>
      <c r="N5" s="176">
        <f>'Opex Segmental(84 KTPA)'!O5+'Opex Segmental(84 KTPA)'!O26+'Opex Segmental(84 KTPA)'!O46+'Opex Segmental(84 KTPA)'!O66</f>
        <v>229610681.14957586</v>
      </c>
      <c r="O5" s="176">
        <f>'Opex Segmental(84 KTPA)'!P5+'Opex Segmental(84 KTPA)'!P26+'Opex Segmental(84 KTPA)'!P46+'Opex Segmental(84 KTPA)'!P66</f>
        <v>233054841.3668195</v>
      </c>
      <c r="P5" s="176">
        <f>'Opex Segmental(84 KTPA)'!Q5+'Opex Segmental(84 KTPA)'!Q26+'Opex Segmental(84 KTPA)'!Q46+'Opex Segmental(84 KTPA)'!Q66</f>
        <v>236550663.98732182</v>
      </c>
    </row>
    <row r="6" spans="1:16">
      <c r="A6" s="95">
        <v>2</v>
      </c>
      <c r="B6" s="32" t="s">
        <v>181</v>
      </c>
      <c r="C6" s="107"/>
      <c r="D6" s="176">
        <f>'Opex Segmental(84 KTPA)'!D7+'Opex Segmental(84 KTPA)'!D27+'Opex Segmental(84 KTPA)'!D47+'Opex Segmental(84 KTPA)'!D67</f>
        <v>29638000</v>
      </c>
      <c r="E6" s="176">
        <f>'Opex Segmental(84 KTPA)'!F6+'Opex Segmental(84 KTPA)'!F27+'Opex Segmental(84 KTPA)'!F47+'Opex Segmental(84 KTPA)'!F67</f>
        <v>30082570</v>
      </c>
      <c r="F6" s="176">
        <f>'Opex Segmental(84 KTPA)'!G6+'Opex Segmental(84 KTPA)'!G27+'Opex Segmental(84 KTPA)'!G47+'Opex Segmental(84 KTPA)'!G67</f>
        <v>30533808.550000001</v>
      </c>
      <c r="G6" s="176">
        <f>'Opex Segmental(84 KTPA)'!H6+'Opex Segmental(84 KTPA)'!H27+'Opex Segmental(84 KTPA)'!H47+'Opex Segmental(84 KTPA)'!H67</f>
        <v>30991815.67825</v>
      </c>
      <c r="H6" s="176">
        <f>'Opex Segmental(84 KTPA)'!I6+'Opex Segmental(84 KTPA)'!I27+'Opex Segmental(84 KTPA)'!I47+'Opex Segmental(84 KTPA)'!I67</f>
        <v>31456692.913423747</v>
      </c>
      <c r="I6" s="176">
        <f>'Opex Segmental(84 KTPA)'!J6+'Opex Segmental(84 KTPA)'!J27+'Opex Segmental(84 KTPA)'!J47+'Opex Segmental(84 KTPA)'!J67</f>
        <v>31928543.307125106</v>
      </c>
      <c r="J6" s="176">
        <f>'Opex Segmental(84 KTPA)'!K6+'Opex Segmental(84 KTPA)'!K27+'Opex Segmental(84 KTPA)'!K47+'Opex Segmental(84 KTPA)'!K67</f>
        <v>32407471.456731983</v>
      </c>
      <c r="K6" s="176">
        <f>'Opex Segmental(84 KTPA)'!L6+'Opex Segmental(84 KTPA)'!L27+'Opex Segmental(84 KTPA)'!L47+'Opex Segmental(84 KTPA)'!L67</f>
        <v>32893583.52858296</v>
      </c>
      <c r="L6" s="176">
        <f>'Opex Segmental(84 KTPA)'!M6+'Opex Segmental(84 KTPA)'!M27+'Opex Segmental(84 KTPA)'!M47+'Opex Segmental(84 KTPA)'!M67</f>
        <v>33386987.281511709</v>
      </c>
      <c r="M6" s="176">
        <f>'Opex Segmental(84 KTPA)'!N6+'Opex Segmental(84 KTPA)'!N27+'Opex Segmental(84 KTPA)'!N47+'Opex Segmental(84 KTPA)'!N67</f>
        <v>33887792.090734385</v>
      </c>
      <c r="N6" s="176">
        <f>'Opex Segmental(84 KTPA)'!O6+'Opex Segmental(84 KTPA)'!O27+'Opex Segmental(84 KTPA)'!O47+'Opex Segmental(84 KTPA)'!O67</f>
        <v>34396108.972095393</v>
      </c>
      <c r="O6" s="176">
        <f>'Opex Segmental(84 KTPA)'!P6+'Opex Segmental(84 KTPA)'!P27+'Opex Segmental(84 KTPA)'!P47+'Opex Segmental(84 KTPA)'!P67</f>
        <v>34912050.606676824</v>
      </c>
      <c r="P6" s="176">
        <f>'Opex Segmental(84 KTPA)'!Q6+'Opex Segmental(84 KTPA)'!Q27+'Opex Segmental(84 KTPA)'!Q47+'Opex Segmental(84 KTPA)'!Q67</f>
        <v>35435731.365776978</v>
      </c>
    </row>
    <row r="7" spans="1:16">
      <c r="A7" s="115" t="s">
        <v>11</v>
      </c>
      <c r="B7" s="105" t="s">
        <v>120</v>
      </c>
      <c r="C7" s="106"/>
      <c r="D7" s="177">
        <f>D8</f>
        <v>2560000</v>
      </c>
      <c r="E7" s="177">
        <f t="shared" ref="E7:P7" si="1">E8</f>
        <v>2764800</v>
      </c>
      <c r="F7" s="177">
        <f t="shared" si="1"/>
        <v>2985984</v>
      </c>
      <c r="G7" s="177">
        <f t="shared" si="1"/>
        <v>3224862.7200000002</v>
      </c>
      <c r="H7" s="177">
        <f t="shared" si="1"/>
        <v>3482851.7375999996</v>
      </c>
      <c r="I7" s="177">
        <f t="shared" si="1"/>
        <v>3761479.8766080001</v>
      </c>
      <c r="J7" s="177">
        <f t="shared" si="1"/>
        <v>4062398.2667366401</v>
      </c>
      <c r="K7" s="177">
        <f t="shared" si="1"/>
        <v>4387390.1280755708</v>
      </c>
      <c r="L7" s="177">
        <f t="shared" si="1"/>
        <v>4738381.3383216169</v>
      </c>
      <c r="M7" s="177">
        <f t="shared" si="1"/>
        <v>5117451.8453873461</v>
      </c>
      <c r="N7" s="177">
        <f t="shared" si="1"/>
        <v>5526847.9930183338</v>
      </c>
      <c r="O7" s="177">
        <f t="shared" si="1"/>
        <v>5968995.8324597999</v>
      </c>
      <c r="P7" s="177">
        <f t="shared" si="1"/>
        <v>6446515.4990565851</v>
      </c>
    </row>
    <row r="8" spans="1:16">
      <c r="A8" s="95">
        <v>3</v>
      </c>
      <c r="B8" s="32" t="s">
        <v>184</v>
      </c>
      <c r="C8" s="107" t="s">
        <v>25</v>
      </c>
      <c r="D8" s="176">
        <f>'Opex Segmental(84 KTPA)'!D9+'Opex Segmental(84 KTPA)'!D29+'Opex Segmental(84 KTPA)'!D49+'Opex Segmental(84 KTPA)'!D69</f>
        <v>2560000</v>
      </c>
      <c r="E8" s="176">
        <f>'Opex Segmental(84 KTPA)'!F8+'Opex Segmental(84 KTPA)'!F29+'Opex Segmental(84 KTPA)'!F49+'Opex Segmental(84 KTPA)'!F69</f>
        <v>2764800</v>
      </c>
      <c r="F8" s="176">
        <f>'Opex Segmental(84 KTPA)'!G8+'Opex Segmental(84 KTPA)'!G29+'Opex Segmental(84 KTPA)'!G49+'Opex Segmental(84 KTPA)'!G69</f>
        <v>2985984</v>
      </c>
      <c r="G8" s="176">
        <f>'Opex Segmental(84 KTPA)'!H8+'Opex Segmental(84 KTPA)'!H29+'Opex Segmental(84 KTPA)'!H49+'Opex Segmental(84 KTPA)'!H69</f>
        <v>3224862.7200000002</v>
      </c>
      <c r="H8" s="176">
        <f>'Opex Segmental(84 KTPA)'!I8+'Opex Segmental(84 KTPA)'!I29+'Opex Segmental(84 KTPA)'!I49+'Opex Segmental(84 KTPA)'!I69</f>
        <v>3482851.7375999996</v>
      </c>
      <c r="I8" s="176">
        <f>'Opex Segmental(84 KTPA)'!J8+'Opex Segmental(84 KTPA)'!J29+'Opex Segmental(84 KTPA)'!J49+'Opex Segmental(84 KTPA)'!J69</f>
        <v>3761479.8766080001</v>
      </c>
      <c r="J8" s="176">
        <f>'Opex Segmental(84 KTPA)'!K8+'Opex Segmental(84 KTPA)'!K29+'Opex Segmental(84 KTPA)'!K49+'Opex Segmental(84 KTPA)'!K69</f>
        <v>4062398.2667366401</v>
      </c>
      <c r="K8" s="176">
        <f>'Opex Segmental(84 KTPA)'!L8+'Opex Segmental(84 KTPA)'!L29+'Opex Segmental(84 KTPA)'!L49+'Opex Segmental(84 KTPA)'!L69</f>
        <v>4387390.1280755708</v>
      </c>
      <c r="L8" s="176">
        <f>'Opex Segmental(84 KTPA)'!M8+'Opex Segmental(84 KTPA)'!M29+'Opex Segmental(84 KTPA)'!M49+'Opex Segmental(84 KTPA)'!M69</f>
        <v>4738381.3383216169</v>
      </c>
      <c r="M8" s="176">
        <f>'Opex Segmental(84 KTPA)'!N8+'Opex Segmental(84 KTPA)'!N29+'Opex Segmental(84 KTPA)'!N49+'Opex Segmental(84 KTPA)'!N69</f>
        <v>5117451.8453873461</v>
      </c>
      <c r="N8" s="176">
        <f>'Opex Segmental(84 KTPA)'!O8+'Opex Segmental(84 KTPA)'!O29+'Opex Segmental(84 KTPA)'!O49+'Opex Segmental(84 KTPA)'!O69</f>
        <v>5526847.9930183338</v>
      </c>
      <c r="O8" s="176">
        <f>'Opex Segmental(84 KTPA)'!P8+'Opex Segmental(84 KTPA)'!P29+'Opex Segmental(84 KTPA)'!P49+'Opex Segmental(84 KTPA)'!P69</f>
        <v>5968995.8324597999</v>
      </c>
      <c r="P8" s="176">
        <f>'Opex Segmental(84 KTPA)'!Q8+'Opex Segmental(84 KTPA)'!Q29+'Opex Segmental(84 KTPA)'!Q49+'Opex Segmental(84 KTPA)'!Q69</f>
        <v>6446515.4990565851</v>
      </c>
    </row>
    <row r="9" spans="1:16">
      <c r="A9" s="115" t="s">
        <v>33</v>
      </c>
      <c r="B9" s="105" t="s">
        <v>160</v>
      </c>
      <c r="C9" s="106"/>
      <c r="D9" s="178">
        <f>D10+D11</f>
        <v>12221767.931818182</v>
      </c>
      <c r="E9" s="178">
        <f t="shared" ref="E9:P9" si="2">E10+E11</f>
        <v>12429982.280965909</v>
      </c>
      <c r="F9" s="178">
        <f t="shared" si="2"/>
        <v>12641908.154477984</v>
      </c>
      <c r="G9" s="178">
        <f t="shared" si="2"/>
        <v>12857614.123308957</v>
      </c>
      <c r="H9" s="178">
        <f t="shared" si="2"/>
        <v>13077170.05908832</v>
      </c>
      <c r="I9" s="178">
        <f t="shared" si="2"/>
        <v>13300647.159249684</v>
      </c>
      <c r="J9" s="178">
        <f t="shared" si="2"/>
        <v>13528117.972651521</v>
      </c>
      <c r="K9" s="178">
        <f t="shared" si="2"/>
        <v>13759656.425699104</v>
      </c>
      <c r="L9" s="178">
        <f t="shared" si="2"/>
        <v>13995337.848977569</v>
      </c>
      <c r="M9" s="178">
        <f t="shared" si="2"/>
        <v>14235239.004406162</v>
      </c>
      <c r="N9" s="178">
        <f t="shared" si="2"/>
        <v>14479438.112923939</v>
      </c>
      <c r="O9" s="178">
        <f t="shared" si="2"/>
        <v>14728014.882717444</v>
      </c>
      <c r="P9" s="178">
        <f t="shared" si="2"/>
        <v>14981050.538001005</v>
      </c>
    </row>
    <row r="10" spans="1:16">
      <c r="A10" s="116">
        <v>4</v>
      </c>
      <c r="B10" s="32" t="s">
        <v>183</v>
      </c>
      <c r="C10" s="108"/>
      <c r="D10" s="176">
        <f>'Opex Segmental(84 KTPA)'!D11+'Opex Segmental(84 KTPA)'!D31+'Opex Segmental(84 KTPA)'!D51+'Opex Segmental(84 KTPA)'!D71</f>
        <v>7392300</v>
      </c>
      <c r="E10" s="124">
        <f>D10+D10*2%</f>
        <v>7540146</v>
      </c>
      <c r="F10" s="124">
        <f t="shared" ref="F10:P10" si="3">E10+E10*2%</f>
        <v>7690948.9199999999</v>
      </c>
      <c r="G10" s="124">
        <f t="shared" si="3"/>
        <v>7844767.8984000003</v>
      </c>
      <c r="H10" s="124">
        <f t="shared" si="3"/>
        <v>8001663.2563680001</v>
      </c>
      <c r="I10" s="124">
        <f t="shared" si="3"/>
        <v>8161696.5214953599</v>
      </c>
      <c r="J10" s="124">
        <f t="shared" si="3"/>
        <v>8324930.4519252675</v>
      </c>
      <c r="K10" s="124">
        <f t="shared" si="3"/>
        <v>8491429.0609637722</v>
      </c>
      <c r="L10" s="124">
        <f t="shared" si="3"/>
        <v>8661257.6421830468</v>
      </c>
      <c r="M10" s="124">
        <f t="shared" si="3"/>
        <v>8834482.7950267084</v>
      </c>
      <c r="N10" s="124">
        <f t="shared" si="3"/>
        <v>9011172.4509272426</v>
      </c>
      <c r="O10" s="124">
        <f t="shared" si="3"/>
        <v>9191395.8999457881</v>
      </c>
      <c r="P10" s="124">
        <f t="shared" si="3"/>
        <v>9375223.8179447036</v>
      </c>
    </row>
    <row r="11" spans="1:16">
      <c r="A11" s="95">
        <v>5</v>
      </c>
      <c r="B11" s="32" t="s">
        <v>180</v>
      </c>
      <c r="C11" s="108"/>
      <c r="D11" s="176">
        <f>'Opex Segmental(84 KTPA)'!D12+'Opex Segmental(84 KTPA)'!D32+'Opex Segmental(84 KTPA)'!D52+'Opex Segmental(84 KTPA)'!D72</f>
        <v>4829467.9318181816</v>
      </c>
      <c r="E11" s="124">
        <f>D11+D11*1.25%</f>
        <v>4889836.2809659094</v>
      </c>
      <c r="F11" s="124">
        <f t="shared" ref="F11:P11" si="4">E11+E11*1.25%</f>
        <v>4950959.2344779829</v>
      </c>
      <c r="G11" s="124">
        <f t="shared" si="4"/>
        <v>5012846.2249089573</v>
      </c>
      <c r="H11" s="124">
        <f t="shared" si="4"/>
        <v>5075506.8027203195</v>
      </c>
      <c r="I11" s="124">
        <f t="shared" si="4"/>
        <v>5138950.6377543239</v>
      </c>
      <c r="J11" s="124">
        <f t="shared" si="4"/>
        <v>5203187.5207262533</v>
      </c>
      <c r="K11" s="124">
        <f t="shared" si="4"/>
        <v>5268227.3647353314</v>
      </c>
      <c r="L11" s="124">
        <f t="shared" si="4"/>
        <v>5334080.2067945227</v>
      </c>
      <c r="M11" s="124">
        <f t="shared" si="4"/>
        <v>5400756.2093794541</v>
      </c>
      <c r="N11" s="124">
        <f t="shared" si="4"/>
        <v>5468265.6619966971</v>
      </c>
      <c r="O11" s="124">
        <f t="shared" si="4"/>
        <v>5536618.9827716555</v>
      </c>
      <c r="P11" s="124">
        <f t="shared" si="4"/>
        <v>5605826.720056301</v>
      </c>
    </row>
    <row r="12" spans="1:16">
      <c r="A12" s="115" t="s">
        <v>170</v>
      </c>
      <c r="B12" s="105" t="s">
        <v>161</v>
      </c>
      <c r="C12" s="106"/>
      <c r="D12" s="184">
        <f>SUM(D13:D15)</f>
        <v>2794143.8611000003</v>
      </c>
    </row>
    <row r="13" spans="1:16">
      <c r="A13" s="95">
        <v>6</v>
      </c>
      <c r="B13" s="120" t="s">
        <v>281</v>
      </c>
      <c r="C13" s="121">
        <v>2.5000000000000001E-2</v>
      </c>
      <c r="D13" s="182">
        <f>'Opex Segmental(84 KTPA)'!D14+'Opex Segmental(84 KTPA)'!D34+'Opex Segmental(84 KTPA)'!D54+'Opex Segmental(84 KTPA)'!D74</f>
        <v>894286.3620000002</v>
      </c>
    </row>
    <row r="14" spans="1:16">
      <c r="A14" s="95">
        <v>7</v>
      </c>
      <c r="B14" s="120" t="s">
        <v>280</v>
      </c>
      <c r="C14" s="121">
        <v>0.45</v>
      </c>
      <c r="D14" s="182">
        <f>'Opex Segmental(84 KTPA)'!D15+'Opex Segmental(84 KTPA)'!D35+'Opex Segmental(84 KTPA)'!D55+'Opex Segmental(84 KTPA)'!D75</f>
        <v>1554428.8629000001</v>
      </c>
    </row>
    <row r="15" spans="1:16">
      <c r="A15" s="95">
        <v>8</v>
      </c>
      <c r="B15" s="120" t="s">
        <v>282</v>
      </c>
      <c r="C15" s="121">
        <v>0.1</v>
      </c>
      <c r="D15" s="182">
        <f>'Opex Segmental(84 KTPA)'!D16+'Opex Segmental(84 KTPA)'!D36+'Opex Segmental(84 KTPA)'!D56+'Opex Segmental(84 KTPA)'!D76</f>
        <v>345428.63620000001</v>
      </c>
    </row>
    <row r="16" spans="1:16">
      <c r="A16" s="115" t="s">
        <v>4</v>
      </c>
      <c r="B16" s="122" t="s">
        <v>162</v>
      </c>
      <c r="C16" s="123"/>
      <c r="D16" s="184">
        <f>SUM(D17:D18)</f>
        <v>28507193.179291822</v>
      </c>
      <c r="G16" s="4"/>
    </row>
    <row r="17" spans="1:4">
      <c r="A17" s="95">
        <v>9</v>
      </c>
      <c r="B17" s="120" t="s">
        <v>283</v>
      </c>
      <c r="C17" s="121">
        <v>0.1</v>
      </c>
      <c r="D17" s="182">
        <f>'Opex Segmental(84 KTPA)'!D18+'Opex Segmental(84 KTPA)'!D38+'Opex Segmental(84 KTPA)'!D58+'Opex Segmental(84 KTPA)'!D78</f>
        <v>23755994.316076517</v>
      </c>
    </row>
    <row r="18" spans="1:4">
      <c r="A18" s="95">
        <v>10</v>
      </c>
      <c r="B18" s="120" t="s">
        <v>284</v>
      </c>
      <c r="C18" s="121">
        <v>0.02</v>
      </c>
      <c r="D18" s="182">
        <f>'Opex Segmental(84 KTPA)'!D19+'Opex Segmental(84 KTPA)'!D39+'Opex Segmental(84 KTPA)'!D59+'Opex Segmental(84 KTPA)'!D79</f>
        <v>4751198.863215303</v>
      </c>
    </row>
    <row r="19" spans="1:4" ht="15.75" thickBot="1">
      <c r="A19" s="117"/>
      <c r="B19" s="118" t="s">
        <v>171</v>
      </c>
      <c r="C19" s="119" t="s">
        <v>252</v>
      </c>
      <c r="D19" s="204">
        <f>D16+D3</f>
        <v>273569104.97220999</v>
      </c>
    </row>
    <row r="20" spans="1:4">
      <c r="B20" s="157" t="s">
        <v>223</v>
      </c>
    </row>
    <row r="21" spans="1:4">
      <c r="B21" s="158" t="s">
        <v>224</v>
      </c>
    </row>
    <row r="22" spans="1:4">
      <c r="B22" s="158" t="s">
        <v>225</v>
      </c>
    </row>
    <row r="23" spans="1:4" ht="25.5">
      <c r="B23" s="158" t="s">
        <v>226</v>
      </c>
    </row>
    <row r="24" spans="1:4" ht="38.25">
      <c r="B24" s="158" t="s">
        <v>227</v>
      </c>
    </row>
    <row r="25" spans="1:4">
      <c r="B25" s="158" t="s">
        <v>228</v>
      </c>
    </row>
    <row r="26" spans="1:4" ht="38.25">
      <c r="B26" s="158" t="s">
        <v>229</v>
      </c>
    </row>
    <row r="27" spans="1:4">
      <c r="B27" s="158"/>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8F6E11-9D91-4775-98B4-2D4C5103CFA3}">
  <dimension ref="A1:D11"/>
  <sheetViews>
    <sheetView showGridLines="0" workbookViewId="0">
      <selection activeCell="D20" sqref="D20"/>
    </sheetView>
  </sheetViews>
  <sheetFormatPr defaultRowHeight="15"/>
  <cols>
    <col min="1" max="1" width="36.5703125" bestFit="1" customWidth="1"/>
    <col min="2" max="2" width="21" customWidth="1"/>
    <col min="3" max="3" width="21.28515625" customWidth="1"/>
    <col min="4" max="4" width="22.5703125" customWidth="1"/>
    <col min="6" max="6" width="10" bestFit="1" customWidth="1"/>
  </cols>
  <sheetData>
    <row r="1" spans="1:4">
      <c r="A1" s="338" t="s">
        <v>266</v>
      </c>
      <c r="B1" s="339"/>
      <c r="C1" s="339"/>
      <c r="D1" s="339"/>
    </row>
    <row r="2" spans="1:4">
      <c r="A2" s="207"/>
      <c r="B2" s="207" t="s">
        <v>267</v>
      </c>
      <c r="C2" s="205"/>
      <c r="D2" s="207"/>
    </row>
    <row r="3" spans="1:4">
      <c r="A3" s="206"/>
      <c r="B3" s="207">
        <f>SUM(B4:B9)</f>
        <v>320</v>
      </c>
      <c r="C3" s="207" t="s">
        <v>362</v>
      </c>
      <c r="D3" s="206" t="s">
        <v>361</v>
      </c>
    </row>
    <row r="4" spans="1:4">
      <c r="A4" s="206" t="s">
        <v>268</v>
      </c>
      <c r="B4" s="206">
        <v>5</v>
      </c>
      <c r="C4" s="208">
        <v>50</v>
      </c>
      <c r="D4" s="206">
        <f>B4*C4</f>
        <v>250</v>
      </c>
    </row>
    <row r="5" spans="1:4">
      <c r="A5" s="206" t="s">
        <v>269</v>
      </c>
      <c r="B5" s="206">
        <v>10</v>
      </c>
      <c r="C5" s="208">
        <v>25</v>
      </c>
      <c r="D5" s="206">
        <f t="shared" ref="D5:D9" si="0">B5*C5</f>
        <v>250</v>
      </c>
    </row>
    <row r="6" spans="1:4">
      <c r="A6" s="206" t="s">
        <v>270</v>
      </c>
      <c r="B6" s="206">
        <v>25</v>
      </c>
      <c r="C6" s="208">
        <v>15</v>
      </c>
      <c r="D6" s="206">
        <f t="shared" si="0"/>
        <v>375</v>
      </c>
    </row>
    <row r="7" spans="1:4">
      <c r="A7" s="206" t="s">
        <v>271</v>
      </c>
      <c r="B7" s="206">
        <v>30</v>
      </c>
      <c r="C7" s="208">
        <v>7.5</v>
      </c>
      <c r="D7" s="206">
        <f t="shared" si="0"/>
        <v>225</v>
      </c>
    </row>
    <row r="8" spans="1:4">
      <c r="A8" s="206" t="s">
        <v>272</v>
      </c>
      <c r="B8" s="206">
        <v>50</v>
      </c>
      <c r="C8" s="208">
        <v>5</v>
      </c>
      <c r="D8" s="206">
        <f t="shared" si="0"/>
        <v>250</v>
      </c>
    </row>
    <row r="9" spans="1:4">
      <c r="A9" s="206" t="s">
        <v>273</v>
      </c>
      <c r="B9" s="206">
        <v>200</v>
      </c>
      <c r="C9" s="208">
        <v>2.85</v>
      </c>
      <c r="D9" s="206">
        <f t="shared" si="0"/>
        <v>570</v>
      </c>
    </row>
    <row r="10" spans="1:4">
      <c r="A10" s="340" t="s">
        <v>274</v>
      </c>
      <c r="B10" s="341"/>
      <c r="C10" s="342"/>
      <c r="D10" s="206">
        <f>SUM(D4:D9)</f>
        <v>1920</v>
      </c>
    </row>
    <row r="11" spans="1:4">
      <c r="A11" s="340" t="s">
        <v>275</v>
      </c>
      <c r="B11" s="341"/>
      <c r="C11" s="342"/>
      <c r="D11" s="206">
        <f>(D10/75)/10</f>
        <v>2.56</v>
      </c>
    </row>
  </sheetData>
  <mergeCells count="3">
    <mergeCell ref="A1:D1"/>
    <mergeCell ref="A10:C10"/>
    <mergeCell ref="A11:C11"/>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513DD-4EE5-4130-A2BB-A87BFE7437D7}">
  <dimension ref="A1:M78"/>
  <sheetViews>
    <sheetView showGridLines="0" topLeftCell="A54" workbookViewId="0">
      <selection activeCell="E76" sqref="E76"/>
    </sheetView>
  </sheetViews>
  <sheetFormatPr defaultColWidth="8.7109375" defaultRowHeight="15"/>
  <cols>
    <col min="1" max="1" width="8.85546875" style="68" bestFit="1" customWidth="1"/>
    <col min="2" max="2" width="27.42578125" bestFit="1" customWidth="1"/>
    <col min="3" max="3" width="43.42578125" bestFit="1" customWidth="1"/>
    <col min="4" max="4" width="15.28515625" style="88" bestFit="1" customWidth="1"/>
    <col min="5" max="5" width="17.140625" customWidth="1"/>
    <col min="6" max="6" width="18.7109375" bestFit="1" customWidth="1"/>
    <col min="7" max="7" width="15.28515625" bestFit="1" customWidth="1"/>
    <col min="8" max="8" width="18.7109375" bestFit="1" customWidth="1"/>
    <col min="9" max="13" width="16.28515625" bestFit="1" customWidth="1"/>
  </cols>
  <sheetData>
    <row r="1" spans="1:13" s="77" customFormat="1">
      <c r="A1" s="69"/>
      <c r="B1" s="69" t="s">
        <v>41</v>
      </c>
      <c r="C1" s="69"/>
      <c r="D1" s="344" t="s">
        <v>43</v>
      </c>
      <c r="E1" s="344"/>
      <c r="F1" s="344"/>
      <c r="G1" s="344"/>
      <c r="H1" s="344"/>
      <c r="I1" s="344"/>
      <c r="J1" s="344"/>
      <c r="K1" s="344"/>
      <c r="L1" s="344"/>
      <c r="M1" s="344"/>
    </row>
    <row r="2" spans="1:13" s="77" customFormat="1">
      <c r="A2" s="69"/>
      <c r="B2" s="69"/>
      <c r="C2" s="69"/>
      <c r="D2" s="189">
        <v>1</v>
      </c>
      <c r="E2" s="69">
        <v>2</v>
      </c>
      <c r="F2" s="69">
        <v>3</v>
      </c>
      <c r="G2" s="69">
        <v>4</v>
      </c>
      <c r="H2" s="69">
        <v>5</v>
      </c>
      <c r="I2" s="69">
        <v>6</v>
      </c>
      <c r="J2" s="70">
        <v>7</v>
      </c>
      <c r="K2" s="69">
        <v>8</v>
      </c>
      <c r="L2" s="70">
        <v>9</v>
      </c>
      <c r="M2" s="69">
        <v>10</v>
      </c>
    </row>
    <row r="3" spans="1:13" s="171" customFormat="1">
      <c r="A3" s="168"/>
      <c r="B3" s="169" t="s">
        <v>234</v>
      </c>
      <c r="C3" s="168" t="s">
        <v>243</v>
      </c>
      <c r="D3" s="168"/>
      <c r="E3" s="168"/>
      <c r="F3" s="168"/>
      <c r="G3" s="168"/>
      <c r="H3" s="168"/>
      <c r="I3" s="168"/>
      <c r="J3" s="170"/>
      <c r="K3" s="168"/>
      <c r="L3" s="170"/>
      <c r="M3" s="168"/>
    </row>
    <row r="4" spans="1:13">
      <c r="A4" s="126">
        <v>1</v>
      </c>
      <c r="B4" s="126" t="s">
        <v>116</v>
      </c>
      <c r="C4" s="132">
        <f>C5</f>
        <v>-35771454.480000004</v>
      </c>
      <c r="D4" s="133"/>
      <c r="E4" s="132"/>
      <c r="F4" s="132"/>
      <c r="G4" s="132"/>
      <c r="H4" s="132"/>
      <c r="I4" s="132"/>
      <c r="J4" s="78"/>
      <c r="K4" s="132"/>
      <c r="L4" s="132"/>
      <c r="M4" s="132"/>
    </row>
    <row r="5" spans="1:13" s="125" customFormat="1">
      <c r="A5" s="127"/>
      <c r="B5" s="165" t="s">
        <v>117</v>
      </c>
      <c r="C5" s="134">
        <f>-Capex!D19</f>
        <v>-35771454.480000004</v>
      </c>
      <c r="D5" s="180"/>
      <c r="E5" s="180"/>
      <c r="F5" s="180"/>
      <c r="G5" s="180"/>
      <c r="H5" s="180"/>
      <c r="I5" s="180"/>
      <c r="J5" s="180"/>
      <c r="K5" s="180"/>
      <c r="L5" s="180"/>
      <c r="M5" s="180"/>
    </row>
    <row r="6" spans="1:13" s="125" customFormat="1">
      <c r="A6" s="159"/>
      <c r="B6" s="166"/>
      <c r="C6" s="160"/>
      <c r="D6" s="173"/>
      <c r="E6" s="173"/>
      <c r="F6" s="173"/>
      <c r="G6" s="173"/>
      <c r="H6" s="173"/>
      <c r="I6" s="173"/>
      <c r="J6" s="173"/>
      <c r="K6" s="173"/>
      <c r="L6" s="173"/>
      <c r="M6" s="173"/>
    </row>
    <row r="7" spans="1:13" s="164" customFormat="1">
      <c r="A7" s="161"/>
      <c r="B7" s="167" t="s">
        <v>232</v>
      </c>
      <c r="C7" s="162"/>
      <c r="D7" s="196">
        <v>0.6</v>
      </c>
      <c r="E7" s="163">
        <v>0.8</v>
      </c>
      <c r="F7" s="163">
        <v>0.9</v>
      </c>
      <c r="G7" s="163">
        <v>0.95</v>
      </c>
      <c r="H7" s="163">
        <v>0.77</v>
      </c>
      <c r="I7" s="163">
        <v>0.88</v>
      </c>
      <c r="J7" s="163">
        <v>0.95</v>
      </c>
      <c r="K7" s="163">
        <v>0.95</v>
      </c>
      <c r="L7" s="163">
        <v>0.95</v>
      </c>
      <c r="M7" s="163">
        <v>0.95</v>
      </c>
    </row>
    <row r="8" spans="1:13" s="77" customFormat="1">
      <c r="A8" s="128">
        <v>2</v>
      </c>
      <c r="B8" s="128" t="s">
        <v>45</v>
      </c>
      <c r="C8" s="135"/>
      <c r="D8" s="197">
        <f>+D9*D10+D11*D12+D13*D14+D16*D15</f>
        <v>99455801.75999999</v>
      </c>
      <c r="E8" s="135">
        <f t="shared" ref="E8:M8" si="0">+E9*E10+E11*E12+E13*E14+E16*E15</f>
        <v>134792148.94656</v>
      </c>
      <c r="F8" s="135">
        <f t="shared" si="0"/>
        <v>153580618.41110855</v>
      </c>
      <c r="G8" s="135">
        <f t="shared" si="0"/>
        <v>164458956.78938958</v>
      </c>
      <c r="H8" s="135">
        <f t="shared" si="0"/>
        <v>283141976.62172979</v>
      </c>
      <c r="I8" s="135">
        <f t="shared" si="0"/>
        <v>313868409.45113826</v>
      </c>
      <c r="J8" s="135">
        <f t="shared" si="0"/>
        <v>343917742.96961367</v>
      </c>
      <c r="K8" s="135">
        <f t="shared" si="0"/>
        <v>349101484.6201399</v>
      </c>
      <c r="L8" s="135">
        <f t="shared" si="0"/>
        <v>354338006.88944197</v>
      </c>
      <c r="M8" s="135">
        <f t="shared" si="0"/>
        <v>359653076.99278355</v>
      </c>
    </row>
    <row r="9" spans="1:13">
      <c r="A9" s="126"/>
      <c r="B9" s="136" t="s">
        <v>254</v>
      </c>
      <c r="C9" s="132"/>
      <c r="D9" s="187">
        <f>42000000*D7*0.52381</f>
        <v>13200012</v>
      </c>
      <c r="E9" s="132">
        <f>42000000*E7*0.52381</f>
        <v>17600016</v>
      </c>
      <c r="F9" s="132">
        <f>42000000*F7*0.52381</f>
        <v>19800018</v>
      </c>
      <c r="G9" s="132">
        <f>42000000*G7*0.52381</f>
        <v>20900019</v>
      </c>
      <c r="H9" s="132">
        <f t="shared" ref="H9:M9" si="1">84000000*H7*0.52381</f>
        <v>33880030.799999997</v>
      </c>
      <c r="I9" s="132">
        <f t="shared" si="1"/>
        <v>38720035.200000003</v>
      </c>
      <c r="J9" s="132">
        <f t="shared" si="1"/>
        <v>41800038</v>
      </c>
      <c r="K9" s="132">
        <f t="shared" si="1"/>
        <v>41800038</v>
      </c>
      <c r="L9" s="132">
        <f t="shared" si="1"/>
        <v>41800038</v>
      </c>
      <c r="M9" s="132">
        <f t="shared" si="1"/>
        <v>41800038</v>
      </c>
    </row>
    <row r="10" spans="1:13">
      <c r="A10" s="126"/>
      <c r="B10" s="136" t="s">
        <v>179</v>
      </c>
      <c r="C10" s="132"/>
      <c r="D10" s="190">
        <v>3.98</v>
      </c>
      <c r="E10" s="190">
        <f>D10*1.017</f>
        <v>4.0476599999999996</v>
      </c>
      <c r="F10" s="190">
        <f>E10*1.012</f>
        <v>4.0962319199999992</v>
      </c>
      <c r="G10" s="190">
        <f>F10*1.014</f>
        <v>4.1535791668799993</v>
      </c>
      <c r="H10" s="190">
        <f t="shared" ref="H10:M10" si="2">G10*1.015</f>
        <v>4.2158828543831985</v>
      </c>
      <c r="I10" s="190">
        <f t="shared" si="2"/>
        <v>4.2791210971989457</v>
      </c>
      <c r="J10" s="190">
        <f t="shared" si="2"/>
        <v>4.3433079136569299</v>
      </c>
      <c r="K10" s="190">
        <f t="shared" si="2"/>
        <v>4.4084575323617834</v>
      </c>
      <c r="L10" s="190">
        <f t="shared" si="2"/>
        <v>4.4745843953472093</v>
      </c>
      <c r="M10" s="190">
        <f t="shared" si="2"/>
        <v>4.5417031612774172</v>
      </c>
    </row>
    <row r="11" spans="1:13">
      <c r="A11" s="126"/>
      <c r="B11" s="136" t="s">
        <v>255</v>
      </c>
      <c r="C11" s="132"/>
      <c r="D11" s="192">
        <f>42000000*D7*0.2381</f>
        <v>6000120</v>
      </c>
      <c r="E11" s="191">
        <f>42000000*E7*0.2381</f>
        <v>8000160</v>
      </c>
      <c r="F11" s="191">
        <f>42000000*F7*0.2381</f>
        <v>9000180</v>
      </c>
      <c r="G11" s="191">
        <f>42000000*G7*0.2381</f>
        <v>9500190</v>
      </c>
      <c r="H11" s="191">
        <f>84000000*H7*0.2381</f>
        <v>15400308</v>
      </c>
      <c r="I11" s="191">
        <f>84000000*I7*0.2381</f>
        <v>17600352</v>
      </c>
      <c r="J11" s="191">
        <f>84000000*J7*0.2381</f>
        <v>19000380</v>
      </c>
      <c r="K11" s="191">
        <f t="shared" ref="K11:M11" si="3">84000000*K7*0.2381</f>
        <v>19000380</v>
      </c>
      <c r="L11" s="191">
        <f t="shared" si="3"/>
        <v>19000380</v>
      </c>
      <c r="M11" s="191">
        <f t="shared" si="3"/>
        <v>19000380</v>
      </c>
    </row>
    <row r="12" spans="1:13">
      <c r="A12" s="126"/>
      <c r="B12" s="136" t="s">
        <v>240</v>
      </c>
      <c r="C12" s="139"/>
      <c r="D12" s="193">
        <f>3.45</f>
        <v>3.45</v>
      </c>
      <c r="E12" s="190">
        <f>D12*1.017</f>
        <v>3.5086499999999998</v>
      </c>
      <c r="F12" s="190">
        <f>E12*1.012</f>
        <v>3.5507537999999998</v>
      </c>
      <c r="G12" s="190">
        <f t="shared" ref="G12:M12" si="4">F12*1.015</f>
        <v>3.6040151069999995</v>
      </c>
      <c r="H12" s="190">
        <f t="shared" si="4"/>
        <v>3.6580753336049989</v>
      </c>
      <c r="I12" s="190">
        <f t="shared" si="4"/>
        <v>3.7129464636090734</v>
      </c>
      <c r="J12" s="190">
        <f t="shared" si="4"/>
        <v>3.768640660563209</v>
      </c>
      <c r="K12" s="190">
        <f t="shared" si="4"/>
        <v>3.8251702704716566</v>
      </c>
      <c r="L12" s="190">
        <f t="shared" si="4"/>
        <v>3.8825478245287313</v>
      </c>
      <c r="M12" s="190">
        <f t="shared" si="4"/>
        <v>3.9407860418966618</v>
      </c>
    </row>
    <row r="13" spans="1:13">
      <c r="A13" s="126"/>
      <c r="B13" s="136" t="s">
        <v>256</v>
      </c>
      <c r="C13" s="132"/>
      <c r="D13" s="192">
        <f>42000000*D7*0.07143</f>
        <v>1800035.9999999998</v>
      </c>
      <c r="E13" s="191">
        <f>42000000*E7*0.07143</f>
        <v>2400048</v>
      </c>
      <c r="F13" s="191">
        <f>42000000*F7*0.07143</f>
        <v>2700053.9999999995</v>
      </c>
      <c r="G13" s="191">
        <f>42000000*G7*0.07143</f>
        <v>2850056.9999999995</v>
      </c>
      <c r="H13" s="191">
        <f t="shared" ref="H13:M13" si="5">84000000*H7*0.07143</f>
        <v>4620092.3999999994</v>
      </c>
      <c r="I13" s="191">
        <f t="shared" si="5"/>
        <v>5280105.5999999996</v>
      </c>
      <c r="J13" s="191">
        <f t="shared" si="5"/>
        <v>5700113.9999999991</v>
      </c>
      <c r="K13" s="191">
        <f t="shared" si="5"/>
        <v>5700113.9999999991</v>
      </c>
      <c r="L13" s="191">
        <f t="shared" si="5"/>
        <v>5700113.9999999991</v>
      </c>
      <c r="M13" s="191">
        <f t="shared" si="5"/>
        <v>5700113.9999999991</v>
      </c>
    </row>
    <row r="14" spans="1:13">
      <c r="A14" s="126"/>
      <c r="B14" s="136" t="s">
        <v>241</v>
      </c>
      <c r="C14" s="132"/>
      <c r="D14" s="193">
        <v>3.6</v>
      </c>
      <c r="E14" s="190">
        <f>D14*1.015</f>
        <v>3.6539999999999999</v>
      </c>
      <c r="F14" s="190">
        <f t="shared" ref="F14:M14" si="6">E14*1.015</f>
        <v>3.7088099999999997</v>
      </c>
      <c r="G14" s="190">
        <f t="shared" si="6"/>
        <v>3.7644421499999994</v>
      </c>
      <c r="H14" s="190">
        <f t="shared" si="6"/>
        <v>3.8209087822499992</v>
      </c>
      <c r="I14" s="190">
        <f t="shared" si="6"/>
        <v>3.8782224139837487</v>
      </c>
      <c r="J14" s="190">
        <f t="shared" si="6"/>
        <v>3.9363957501935047</v>
      </c>
      <c r="K14" s="190">
        <f t="shared" si="6"/>
        <v>3.9954416864464068</v>
      </c>
      <c r="L14" s="190">
        <f t="shared" si="6"/>
        <v>4.0553733117431028</v>
      </c>
      <c r="M14" s="190">
        <f t="shared" si="6"/>
        <v>4.116203911419249</v>
      </c>
    </row>
    <row r="15" spans="1:13">
      <c r="A15" s="126"/>
      <c r="B15" s="136" t="s">
        <v>257</v>
      </c>
      <c r="C15" s="132"/>
      <c r="D15" s="192">
        <f>42000000*D7*0.16666</f>
        <v>4199832</v>
      </c>
      <c r="E15" s="192">
        <f>42000000*E7*0.16666</f>
        <v>5599776</v>
      </c>
      <c r="F15" s="192">
        <f>42000000*F7*0.16666</f>
        <v>6299748</v>
      </c>
      <c r="G15" s="192">
        <f>42000000*G7*0.16666</f>
        <v>6649734</v>
      </c>
      <c r="H15" s="192">
        <f>84000000*G7*0.1666</f>
        <v>13294680</v>
      </c>
      <c r="I15" s="192">
        <f>84000000*I7*0.1666</f>
        <v>12315072</v>
      </c>
      <c r="J15" s="192">
        <f>84000000*J7*0.1666</f>
        <v>13294680</v>
      </c>
      <c r="K15" s="192">
        <f>84000000*K7*0.16666</f>
        <v>13299468</v>
      </c>
      <c r="L15" s="192">
        <f>84000000*L7*0.16666</f>
        <v>13299468</v>
      </c>
      <c r="M15" s="192">
        <f>84000000*M7*0.16666</f>
        <v>13299468</v>
      </c>
    </row>
    <row r="16" spans="1:13">
      <c r="A16" s="126"/>
      <c r="B16" s="136" t="s">
        <v>258</v>
      </c>
      <c r="C16" s="132"/>
      <c r="D16" s="193">
        <v>4.7</v>
      </c>
      <c r="E16" s="193">
        <f>D16+D16*1.5%</f>
        <v>4.7705000000000002</v>
      </c>
      <c r="F16" s="193">
        <f t="shared" ref="F16:M16" si="7">E16+E16*1.5%</f>
        <v>4.8420575000000001</v>
      </c>
      <c r="G16" s="193">
        <f t="shared" si="7"/>
        <v>4.9146883624999997</v>
      </c>
      <c r="H16" s="193">
        <f t="shared" si="7"/>
        <v>4.9884086879374996</v>
      </c>
      <c r="I16" s="193">
        <f t="shared" si="7"/>
        <v>5.0632348182565625</v>
      </c>
      <c r="J16" s="193">
        <f t="shared" si="7"/>
        <v>5.139183340530411</v>
      </c>
      <c r="K16" s="193">
        <f t="shared" si="7"/>
        <v>5.2162710906383669</v>
      </c>
      <c r="L16" s="193">
        <f t="shared" si="7"/>
        <v>5.2945151569979423</v>
      </c>
      <c r="M16" s="193">
        <f t="shared" si="7"/>
        <v>5.3739328843529117</v>
      </c>
    </row>
    <row r="17" spans="1:13">
      <c r="A17" s="126"/>
      <c r="B17" s="136"/>
      <c r="C17" s="132"/>
      <c r="D17" s="186"/>
      <c r="E17" s="137"/>
      <c r="F17" s="137"/>
      <c r="G17" s="137"/>
      <c r="H17" s="137"/>
      <c r="I17" s="137"/>
      <c r="J17" s="137"/>
      <c r="K17" s="137"/>
      <c r="L17" s="137"/>
      <c r="M17" s="137"/>
    </row>
    <row r="18" spans="1:13">
      <c r="A18" s="126"/>
      <c r="B18" s="136"/>
      <c r="C18" s="132"/>
      <c r="D18" s="137"/>
      <c r="E18" s="137"/>
      <c r="F18" s="137"/>
      <c r="G18" s="137"/>
      <c r="H18" s="137"/>
      <c r="I18" s="137"/>
      <c r="J18" s="137"/>
      <c r="K18" s="137"/>
      <c r="L18" s="137"/>
      <c r="M18" s="137"/>
    </row>
    <row r="19" spans="1:13" s="77" customFormat="1">
      <c r="A19" s="128">
        <v>3</v>
      </c>
      <c r="B19" s="128" t="s">
        <v>153</v>
      </c>
      <c r="C19" s="135"/>
      <c r="D19" s="135">
        <f>SUM(D20:D22)</f>
        <v>10488078.672502086</v>
      </c>
      <c r="E19" s="135">
        <f t="shared" ref="E19:M19" si="8">SUM(E20:E22)</f>
        <v>3909670.554072774</v>
      </c>
      <c r="F19" s="135">
        <f t="shared" si="8"/>
        <v>2054083.6181104705</v>
      </c>
      <c r="G19" s="135">
        <f t="shared" si="8"/>
        <v>1190955.082389567</v>
      </c>
      <c r="H19" s="135">
        <f t="shared" si="8"/>
        <v>13245877.195117651</v>
      </c>
      <c r="I19" s="135">
        <f t="shared" si="8"/>
        <v>2701664.1242740368</v>
      </c>
      <c r="J19" s="135">
        <f t="shared" si="8"/>
        <v>3285879.3109250562</v>
      </c>
      <c r="K19" s="135">
        <f t="shared" si="8"/>
        <v>551223.78158597741</v>
      </c>
      <c r="L19" s="135">
        <f t="shared" si="8"/>
        <v>536736.86174479802</v>
      </c>
      <c r="M19" s="135">
        <f t="shared" si="8"/>
        <v>542950.25291477575</v>
      </c>
    </row>
    <row r="20" spans="1:13">
      <c r="A20" s="126"/>
      <c r="B20" s="126" t="s">
        <v>154</v>
      </c>
      <c r="C20" s="132"/>
      <c r="D20" s="132">
        <f>'Working sheet'!E5</f>
        <v>16348898.919452053</v>
      </c>
      <c r="E20" s="132">
        <f>'Working sheet'!F5</f>
        <v>5808714.6060098642</v>
      </c>
      <c r="F20" s="132">
        <f>'Working sheet'!G5</f>
        <v>3088515.5284189414</v>
      </c>
      <c r="G20" s="132">
        <f>'Working sheet'!H5</f>
        <v>1788220.0073886618</v>
      </c>
      <c r="H20" s="132">
        <f>'Working sheet'!I5</f>
        <v>19509537.506686062</v>
      </c>
      <c r="I20" s="132">
        <f>'Working sheet'!J5</f>
        <v>5050920.465108241</v>
      </c>
      <c r="J20" s="132">
        <f>'Working sheet'!K5</f>
        <v>4939616.468790479</v>
      </c>
      <c r="K20" s="132">
        <f>'Working sheet'!L5</f>
        <v>852121.91515499598</v>
      </c>
      <c r="L20" s="132">
        <f>'Working sheet'!M5</f>
        <v>860798.18125513475</v>
      </c>
      <c r="M20" s="132">
        <f>'Working sheet'!N5</f>
        <v>873710.15397395822</v>
      </c>
    </row>
    <row r="21" spans="1:13">
      <c r="A21" s="126"/>
      <c r="B21" s="126" t="s">
        <v>46</v>
      </c>
      <c r="C21" s="132"/>
      <c r="D21" s="132">
        <f>'Working sheet'!E10</f>
        <v>5860820.246949967</v>
      </c>
      <c r="E21" s="132">
        <f>'Working sheet'!F10</f>
        <v>1899044.0519370898</v>
      </c>
      <c r="F21" s="132">
        <f>'Working sheet'!G10</f>
        <v>1034431.9103084709</v>
      </c>
      <c r="G21" s="132">
        <f>'Working sheet'!H10</f>
        <v>597264.92499909457</v>
      </c>
      <c r="H21" s="132">
        <f>'Working sheet'!I10</f>
        <v>6263660.3115684101</v>
      </c>
      <c r="I21" s="132">
        <f>'Working sheet'!J10</f>
        <v>2349256.3408342046</v>
      </c>
      <c r="J21" s="132">
        <f>'Working sheet'!K10</f>
        <v>1653737.1578654223</v>
      </c>
      <c r="K21" s="132">
        <f>'Working sheet'!L10</f>
        <v>300898.13356901845</v>
      </c>
      <c r="L21" s="132">
        <f>'Working sheet'!M10</f>
        <v>324061.31951033662</v>
      </c>
      <c r="M21" s="132">
        <f>'Working sheet'!N10</f>
        <v>330759.90105918254</v>
      </c>
    </row>
    <row r="22" spans="1:13" s="77" customFormat="1">
      <c r="A22" s="128"/>
      <c r="B22" s="126" t="s">
        <v>155</v>
      </c>
      <c r="C22" s="135"/>
      <c r="D22" s="132">
        <f>'Working sheet'!E15</f>
        <v>-11721640.493899934</v>
      </c>
      <c r="E22" s="132">
        <f>'Working sheet'!F15</f>
        <v>-3798088.1038741795</v>
      </c>
      <c r="F22" s="132">
        <f>'Working sheet'!G15</f>
        <v>-2068863.8206169419</v>
      </c>
      <c r="G22" s="132">
        <f>'Working sheet'!H15</f>
        <v>-1194529.8499981891</v>
      </c>
      <c r="H22" s="132">
        <f>'Working sheet'!I15</f>
        <v>-12527320.62313682</v>
      </c>
      <c r="I22" s="132">
        <f>'Working sheet'!J15</f>
        <v>-4698512.6816684091</v>
      </c>
      <c r="J22" s="132">
        <f>'Working sheet'!K15</f>
        <v>-3307474.3157308446</v>
      </c>
      <c r="K22" s="132">
        <f>'Working sheet'!L15</f>
        <v>-601796.2671380369</v>
      </c>
      <c r="L22" s="132">
        <f>'Working sheet'!M15</f>
        <v>-648122.63902067323</v>
      </c>
      <c r="M22" s="132">
        <f>'Working sheet'!N15</f>
        <v>-661519.80211836507</v>
      </c>
    </row>
    <row r="23" spans="1:13">
      <c r="A23" s="126"/>
      <c r="B23" s="126"/>
      <c r="C23" s="132"/>
      <c r="D23" s="133"/>
      <c r="E23" s="133"/>
      <c r="F23" s="133"/>
      <c r="G23" s="133"/>
      <c r="H23" s="133"/>
      <c r="I23" s="133"/>
      <c r="J23" s="133"/>
      <c r="K23" s="133"/>
      <c r="L23" s="133"/>
      <c r="M23" s="133"/>
    </row>
    <row r="24" spans="1:13" s="77" customFormat="1">
      <c r="A24" s="129">
        <v>4</v>
      </c>
      <c r="B24" s="129" t="s">
        <v>157</v>
      </c>
      <c r="C24" s="138"/>
      <c r="D24" s="138">
        <f t="shared" ref="D24:M24" si="9">+D8+D19</f>
        <v>109943880.43250208</v>
      </c>
      <c r="E24" s="138">
        <f>+E8+E19</f>
        <v>138701819.50063276</v>
      </c>
      <c r="F24" s="138">
        <f t="shared" si="9"/>
        <v>155634702.02921903</v>
      </c>
      <c r="G24" s="138">
        <f t="shared" si="9"/>
        <v>165649911.87177914</v>
      </c>
      <c r="H24" s="138">
        <f t="shared" si="9"/>
        <v>296387853.81684744</v>
      </c>
      <c r="I24" s="138">
        <f t="shared" si="9"/>
        <v>316570073.57541227</v>
      </c>
      <c r="J24" s="138">
        <f t="shared" si="9"/>
        <v>347203622.28053874</v>
      </c>
      <c r="K24" s="138">
        <f t="shared" si="9"/>
        <v>349652708.40172589</v>
      </c>
      <c r="L24" s="138">
        <f t="shared" si="9"/>
        <v>354874743.75118679</v>
      </c>
      <c r="M24" s="138">
        <f t="shared" si="9"/>
        <v>360196027.24569833</v>
      </c>
    </row>
    <row r="25" spans="1:13">
      <c r="A25" s="126"/>
      <c r="B25" s="126"/>
      <c r="C25" s="132"/>
      <c r="D25" s="132"/>
      <c r="E25" s="139"/>
      <c r="F25" s="132"/>
      <c r="G25" s="132"/>
      <c r="H25" s="132"/>
      <c r="I25" s="132"/>
      <c r="J25" s="132"/>
      <c r="K25" s="132"/>
      <c r="L25" s="132"/>
      <c r="M25" s="132"/>
    </row>
    <row r="26" spans="1:13">
      <c r="A26" s="126">
        <v>5</v>
      </c>
      <c r="B26" s="128" t="s">
        <v>158</v>
      </c>
      <c r="C26" s="132"/>
      <c r="D26" s="132"/>
      <c r="E26" s="132"/>
      <c r="F26" s="132"/>
      <c r="G26" s="132"/>
      <c r="H26" s="132"/>
      <c r="I26" s="132"/>
      <c r="J26" s="132"/>
      <c r="K26" s="132"/>
      <c r="L26" s="132"/>
      <c r="M26" s="132"/>
    </row>
    <row r="27" spans="1:13">
      <c r="A27" s="126"/>
      <c r="B27" s="126" t="s">
        <v>5</v>
      </c>
      <c r="C27" s="78">
        <f>D27/D$32</f>
        <v>0.83238243625629571</v>
      </c>
      <c r="D27" s="132">
        <f>'Opex Total(84 KTPA)'!D5/2*D7</f>
        <v>59354400</v>
      </c>
      <c r="E27" s="132">
        <f>'Opex Total(84 KTPA)'!E5/2*E7</f>
        <v>80326288</v>
      </c>
      <c r="F27" s="132">
        <f>'Opex Total(84 KTPA)'!F5/2*F7</f>
        <v>91722580.110000014</v>
      </c>
      <c r="G27" s="132">
        <f>'Opex Total(84 KTPA)'!G5/2*G7</f>
        <v>98270553.190074995</v>
      </c>
      <c r="H27" s="132">
        <f>'Opex Total(84 KTPA)'!H5*H7</f>
        <v>161691264.93832237</v>
      </c>
      <c r="I27" s="132">
        <f>'Opex Total(84 KTPA)'!I5*I7</f>
        <v>187561867.32845393</v>
      </c>
      <c r="J27" s="132">
        <f>'Opex Total(84 KTPA)'!J5*J7</f>
        <v>205518784.74029735</v>
      </c>
      <c r="K27" s="132">
        <f>'Opex Total(84 KTPA)'!K5*K7</f>
        <v>208601566.5114018</v>
      </c>
      <c r="L27" s="132">
        <f>'Opex Total(84 KTPA)'!L5*L7</f>
        <v>211730590.00907284</v>
      </c>
      <c r="M27" s="132">
        <f>'Opex Total(84 KTPA)'!M5*M7</f>
        <v>214906548.85920894</v>
      </c>
    </row>
    <row r="28" spans="1:13">
      <c r="A28" s="126"/>
      <c r="B28" s="126" t="s">
        <v>159</v>
      </c>
      <c r="C28" s="78">
        <f t="shared" ref="C28:C30" si="10">D28/D$32</f>
        <v>1.0770384521532273E-2</v>
      </c>
      <c r="D28" s="132">
        <f>'Opex Total(84 KTPA)'!D7/2*D7</f>
        <v>768000</v>
      </c>
      <c r="E28" s="132">
        <f>'Opex Total(84 KTPA)'!E7/2*E7</f>
        <v>1105920</v>
      </c>
      <c r="F28" s="132">
        <f>'Opex Total(84 KTPA)'!F7/2*F7</f>
        <v>1343692.8</v>
      </c>
      <c r="G28" s="132">
        <f>'Opex Total(84 KTPA)'!G7/2*G7</f>
        <v>1531809.7920000001</v>
      </c>
      <c r="H28" s="132">
        <f>'Opex Total(84 KTPA)'!H7*H7</f>
        <v>2681795.8379519996</v>
      </c>
      <c r="I28" s="132">
        <f>'Opex Total(84 KTPA)'!I7*I7</f>
        <v>3310102.2914150399</v>
      </c>
      <c r="J28" s="132">
        <f>'Opex Total(84 KTPA)'!J7</f>
        <v>4062398.2667366401</v>
      </c>
      <c r="K28" s="132">
        <f>'Opex Total(84 KTPA)'!K7*K7</f>
        <v>4168020.6216717921</v>
      </c>
      <c r="L28" s="132">
        <f>'Opex Total(84 KTPA)'!L7*L7</f>
        <v>4501462.2714055358</v>
      </c>
      <c r="M28" s="132">
        <f>'Opex Total(84 KTPA)'!M7*M7</f>
        <v>4861579.2531179786</v>
      </c>
    </row>
    <row r="29" spans="1:13">
      <c r="A29" s="126"/>
      <c r="B29" s="126" t="s">
        <v>160</v>
      </c>
      <c r="C29" s="78">
        <f t="shared" si="10"/>
        <v>8.569865895743102E-2</v>
      </c>
      <c r="D29" s="132">
        <f>'Opex Total(84 KTPA)'!D9/2</f>
        <v>6110883.9659090908</v>
      </c>
      <c r="E29" s="132">
        <f>'Opex Total(84 KTPA)'!E9/2</f>
        <v>6214991.1404829547</v>
      </c>
      <c r="F29" s="132">
        <f>'Opex Total(84 KTPA)'!F9/2</f>
        <v>6320954.0772389919</v>
      </c>
      <c r="G29" s="132">
        <f>'Opex Total(84 KTPA)'!G9/2</f>
        <v>6428807.0616544783</v>
      </c>
      <c r="H29" s="132">
        <f>'Opex Total(84 KTPA)'!H9</f>
        <v>13077170.05908832</v>
      </c>
      <c r="I29" s="132">
        <f>'Opex Total(84 KTPA)'!I9</f>
        <v>13300647.159249684</v>
      </c>
      <c r="J29" s="132">
        <f>'Opex Total(84 KTPA)'!J9</f>
        <v>13528117.972651521</v>
      </c>
      <c r="K29" s="132">
        <f>'Opex Total(84 KTPA)'!K9</f>
        <v>13759656.425699104</v>
      </c>
      <c r="L29" s="132">
        <f>'Opex Total(84 KTPA)'!L9</f>
        <v>13995337.848977569</v>
      </c>
      <c r="M29" s="132">
        <f>'Opex Total(84 KTPA)'!M9</f>
        <v>14235239.004406162</v>
      </c>
    </row>
    <row r="30" spans="1:13">
      <c r="A30" s="126"/>
      <c r="B30" s="126" t="s">
        <v>161</v>
      </c>
      <c r="C30" s="78">
        <f t="shared" si="10"/>
        <v>6.1576272640956938E-3</v>
      </c>
      <c r="D30" s="132">
        <f>'Opex Segmental(84 KTPA)'!$D$13*'Cash Flow Epoxy Resin'!D7/2</f>
        <v>439079.74960142863</v>
      </c>
      <c r="E30" s="132">
        <f>'Opex Segmental(84 KTPA)'!$D$13*'Cash Flow Epoxy Resin'!E7/2</f>
        <v>585439.66613523825</v>
      </c>
      <c r="F30" s="132">
        <f>'Opex Segmental(84 KTPA)'!$D$13*'Cash Flow Epoxy Resin'!F7/2</f>
        <v>658619.62440214294</v>
      </c>
      <c r="G30" s="132">
        <f>'Opex Segmental(84 KTPA)'!$D$13*'Cash Flow Epoxy Resin'!G7/2</f>
        <v>695209.60353559535</v>
      </c>
      <c r="H30" s="132">
        <f>'Opex Segmental(84 KTPA)'!$D$13*'Cash Flow Epoxy Resin'!H7</f>
        <v>1126971.3573103335</v>
      </c>
      <c r="I30" s="132">
        <f>'Opex Segmental(84 KTPA)'!$D$13*'Cash Flow Epoxy Resin'!I7</f>
        <v>1287967.2654975241</v>
      </c>
      <c r="J30" s="132">
        <f>'Opex Segmental(84 KTPA)'!$D$13*'Cash Flow Epoxy Resin'!J7</f>
        <v>1390419.2070711907</v>
      </c>
      <c r="K30" s="132">
        <f t="shared" ref="K30:M31" si="11">J30*1.015</f>
        <v>1411275.4951772585</v>
      </c>
      <c r="L30" s="132">
        <f t="shared" si="11"/>
        <v>1432444.6276049172</v>
      </c>
      <c r="M30" s="132">
        <f t="shared" si="11"/>
        <v>1453931.2970189909</v>
      </c>
    </row>
    <row r="31" spans="1:13">
      <c r="A31" s="126"/>
      <c r="B31" s="126" t="s">
        <v>162</v>
      </c>
      <c r="C31" s="78">
        <f>D31/$D$32</f>
        <v>6.4990893000645256E-2</v>
      </c>
      <c r="D31" s="132">
        <f>'Opex Segmental(84 KTPA)'!$D$17*'Cash Flow Epoxy Resin'!D7/2</f>
        <v>4634282.6223807437</v>
      </c>
      <c r="E31" s="132">
        <f>'Opex Segmental(84 KTPA)'!$D$17*'Cash Flow Epoxy Resin'!E7/2</f>
        <v>6179043.4965076586</v>
      </c>
      <c r="F31" s="132">
        <f>'Opex Segmental(84 KTPA)'!$D$17*'Cash Flow Epoxy Resin'!F7/2</f>
        <v>6951423.9335711151</v>
      </c>
      <c r="G31" s="132">
        <f>'Opex Segmental(84 KTPA)'!$D$17*'Cash Flow Epoxy Resin'!G7/2</f>
        <v>7337614.1521028439</v>
      </c>
      <c r="H31" s="132">
        <f>'Opex Segmental(84 KTPA)'!$D$17*'Cash Flow Epoxy Resin'!H7</f>
        <v>11894658.730777241</v>
      </c>
      <c r="I31" s="132">
        <f>'Opex Segmental(84 KTPA)'!$D$17*'Cash Flow Epoxy Resin'!I7</f>
        <v>13593895.692316847</v>
      </c>
      <c r="J31" s="132">
        <f>'Opex Segmental(84 KTPA)'!$D$17*'Cash Flow Epoxy Resin'!J7</f>
        <v>14675228.304205688</v>
      </c>
      <c r="K31" s="132">
        <f t="shared" si="11"/>
        <v>14895356.728768772</v>
      </c>
      <c r="L31" s="132">
        <f t="shared" si="11"/>
        <v>15118787.079700302</v>
      </c>
      <c r="M31" s="132">
        <f t="shared" si="11"/>
        <v>15345568.885895805</v>
      </c>
    </row>
    <row r="32" spans="1:13" s="77" customFormat="1">
      <c r="A32" s="128"/>
      <c r="B32" s="128" t="s">
        <v>50</v>
      </c>
      <c r="C32" s="135"/>
      <c r="D32" s="135">
        <f t="shared" ref="D32:M32" si="12">SUM(D27:D31)</f>
        <v>71306646.337891266</v>
      </c>
      <c r="E32" s="135">
        <f t="shared" si="12"/>
        <v>94411682.303125858</v>
      </c>
      <c r="F32" s="135">
        <f t="shared" si="12"/>
        <v>106997270.54521225</v>
      </c>
      <c r="G32" s="135">
        <f t="shared" si="12"/>
        <v>114263993.7993679</v>
      </c>
      <c r="H32" s="135">
        <f t="shared" si="12"/>
        <v>190471860.92345023</v>
      </c>
      <c r="I32" s="135">
        <f t="shared" si="12"/>
        <v>219054479.73693305</v>
      </c>
      <c r="J32" s="135">
        <f t="shared" si="12"/>
        <v>239174948.49096236</v>
      </c>
      <c r="K32" s="135">
        <f t="shared" si="12"/>
        <v>242835875.78271875</v>
      </c>
      <c r="L32" s="135">
        <f t="shared" si="12"/>
        <v>246778621.83676118</v>
      </c>
      <c r="M32" s="135">
        <f t="shared" si="12"/>
        <v>250802867.2996479</v>
      </c>
    </row>
    <row r="33" spans="1:13">
      <c r="A33" s="126"/>
      <c r="B33" s="126"/>
      <c r="C33" s="132"/>
      <c r="D33" s="132"/>
      <c r="E33" s="132"/>
      <c r="F33" s="132"/>
      <c r="G33" s="132"/>
      <c r="H33" s="132"/>
      <c r="I33" s="132"/>
      <c r="J33" s="132"/>
      <c r="K33" s="132"/>
      <c r="L33" s="132"/>
      <c r="M33" s="132"/>
    </row>
    <row r="34" spans="1:13" s="77" customFormat="1">
      <c r="A34" s="130">
        <v>6</v>
      </c>
      <c r="B34" s="130" t="s">
        <v>51</v>
      </c>
      <c r="C34" s="140"/>
      <c r="D34" s="140">
        <f t="shared" ref="D34:M34" si="13">D8-D32</f>
        <v>28149155.422108725</v>
      </c>
      <c r="E34" s="140">
        <f t="shared" si="13"/>
        <v>40380466.643434137</v>
      </c>
      <c r="F34" s="140">
        <f t="shared" si="13"/>
        <v>46583347.865896299</v>
      </c>
      <c r="G34" s="140">
        <f t="shared" si="13"/>
        <v>50194962.990021676</v>
      </c>
      <c r="H34" s="140">
        <f t="shared" si="13"/>
        <v>92670115.69827956</v>
      </c>
      <c r="I34" s="140">
        <f t="shared" si="13"/>
        <v>94813929.714205205</v>
      </c>
      <c r="J34" s="140">
        <f t="shared" si="13"/>
        <v>104742794.47865131</v>
      </c>
      <c r="K34" s="140">
        <f t="shared" si="13"/>
        <v>106265608.83742115</v>
      </c>
      <c r="L34" s="140">
        <f t="shared" si="13"/>
        <v>107559385.05268079</v>
      </c>
      <c r="M34" s="140">
        <f t="shared" si="13"/>
        <v>108850209.69313565</v>
      </c>
    </row>
    <row r="35" spans="1:13">
      <c r="A35" s="126"/>
      <c r="B35" s="126"/>
      <c r="C35" s="132"/>
      <c r="D35" s="132"/>
      <c r="E35" s="132"/>
      <c r="F35" s="132"/>
      <c r="G35" s="132"/>
      <c r="H35" s="132"/>
      <c r="I35" s="132"/>
      <c r="J35" s="132"/>
      <c r="K35" s="132"/>
      <c r="L35" s="132"/>
      <c r="M35" s="132"/>
    </row>
    <row r="36" spans="1:13">
      <c r="A36" s="126">
        <v>7</v>
      </c>
      <c r="B36" s="126" t="s">
        <v>52</v>
      </c>
      <c r="C36" s="132"/>
      <c r="D36" s="132">
        <f>C4/10</f>
        <v>-3577145.4480000003</v>
      </c>
      <c r="E36" s="132">
        <f>D36</f>
        <v>-3577145.4480000003</v>
      </c>
      <c r="F36" s="132">
        <f t="shared" ref="F36:M36" si="14">E36</f>
        <v>-3577145.4480000003</v>
      </c>
      <c r="G36" s="132">
        <f t="shared" si="14"/>
        <v>-3577145.4480000003</v>
      </c>
      <c r="H36" s="132">
        <f t="shared" si="14"/>
        <v>-3577145.4480000003</v>
      </c>
      <c r="I36" s="132">
        <f t="shared" si="14"/>
        <v>-3577145.4480000003</v>
      </c>
      <c r="J36" s="132">
        <f t="shared" si="14"/>
        <v>-3577145.4480000003</v>
      </c>
      <c r="K36" s="132">
        <f t="shared" si="14"/>
        <v>-3577145.4480000003</v>
      </c>
      <c r="L36" s="132">
        <f t="shared" si="14"/>
        <v>-3577145.4480000003</v>
      </c>
      <c r="M36" s="132">
        <f t="shared" si="14"/>
        <v>-3577145.4480000003</v>
      </c>
    </row>
    <row r="37" spans="1:13">
      <c r="A37" s="126"/>
      <c r="B37" s="126"/>
      <c r="C37" s="132"/>
      <c r="D37" s="132"/>
      <c r="E37" s="132"/>
      <c r="F37" s="132"/>
      <c r="G37" s="132"/>
      <c r="H37" s="132"/>
      <c r="I37" s="132"/>
      <c r="J37" s="132"/>
      <c r="K37" s="132"/>
      <c r="L37" s="132"/>
      <c r="M37" s="132"/>
    </row>
    <row r="38" spans="1:13">
      <c r="A38" s="126">
        <v>8</v>
      </c>
      <c r="B38" s="126" t="s">
        <v>163</v>
      </c>
      <c r="C38" s="78">
        <v>0.3</v>
      </c>
      <c r="D38" s="132">
        <f>(D34-D36)*$C$38</f>
        <v>9517890.2610326167</v>
      </c>
      <c r="E38" s="132">
        <f t="shared" ref="E38:M38" si="15">(E34-E36)*$C$38</f>
        <v>13187283.62743024</v>
      </c>
      <c r="F38" s="132">
        <f t="shared" si="15"/>
        <v>15048147.994168889</v>
      </c>
      <c r="G38" s="132">
        <f t="shared" si="15"/>
        <v>16131632.531406501</v>
      </c>
      <c r="H38" s="132">
        <f t="shared" si="15"/>
        <v>28874178.343883868</v>
      </c>
      <c r="I38" s="132">
        <f t="shared" si="15"/>
        <v>29517322.54866156</v>
      </c>
      <c r="J38" s="132">
        <f t="shared" si="15"/>
        <v>32495981.977995392</v>
      </c>
      <c r="K38" s="132">
        <f t="shared" si="15"/>
        <v>32952826.285626344</v>
      </c>
      <c r="L38" s="132">
        <f t="shared" si="15"/>
        <v>33340959.150204234</v>
      </c>
      <c r="M38" s="132">
        <f t="shared" si="15"/>
        <v>33728206.542340696</v>
      </c>
    </row>
    <row r="39" spans="1:13">
      <c r="A39" s="126"/>
      <c r="B39" s="126"/>
      <c r="C39" s="132"/>
      <c r="D39" s="132"/>
      <c r="E39" s="132"/>
      <c r="F39" s="132"/>
      <c r="G39" s="132"/>
      <c r="H39" s="132"/>
      <c r="I39" s="132"/>
      <c r="J39" s="132"/>
      <c r="K39" s="132"/>
      <c r="L39" s="132"/>
      <c r="M39" s="132"/>
    </row>
    <row r="40" spans="1:13" s="77" customFormat="1">
      <c r="A40" s="129"/>
      <c r="B40" s="129" t="s">
        <v>53</v>
      </c>
      <c r="C40" s="138">
        <f>C5</f>
        <v>-35771454.480000004</v>
      </c>
      <c r="D40" s="138">
        <f>D34-D36-D38</f>
        <v>22208410.609076105</v>
      </c>
      <c r="E40" s="138">
        <f t="shared" ref="E40:K40" si="16">E34-E36-E38</f>
        <v>30770328.464003898</v>
      </c>
      <c r="F40" s="138">
        <f t="shared" si="16"/>
        <v>35112345.319727406</v>
      </c>
      <c r="G40" s="138">
        <f t="shared" si="16"/>
        <v>37640475.906615175</v>
      </c>
      <c r="H40" s="138">
        <f t="shared" si="16"/>
        <v>67373082.802395687</v>
      </c>
      <c r="I40" s="138">
        <f t="shared" si="16"/>
        <v>68873752.613543645</v>
      </c>
      <c r="J40" s="138">
        <f t="shared" si="16"/>
        <v>75823957.948655918</v>
      </c>
      <c r="K40" s="138">
        <f t="shared" si="16"/>
        <v>76889927.999794811</v>
      </c>
      <c r="L40" s="138">
        <f>L34-L36-L38</f>
        <v>77795571.350476563</v>
      </c>
      <c r="M40" s="138">
        <f>M34-M36-M38</f>
        <v>78699148.598794952</v>
      </c>
    </row>
    <row r="41" spans="1:13">
      <c r="A41" s="126"/>
      <c r="B41" s="126"/>
      <c r="C41" s="132"/>
      <c r="D41" s="132"/>
      <c r="E41" s="132"/>
      <c r="F41" s="132"/>
      <c r="G41" s="132"/>
      <c r="H41" s="132"/>
      <c r="I41" s="132"/>
      <c r="J41" s="132"/>
      <c r="K41" s="132"/>
      <c r="L41" s="132"/>
      <c r="M41" s="132"/>
    </row>
    <row r="42" spans="1:13">
      <c r="A42" s="126"/>
      <c r="B42" s="126" t="s">
        <v>242</v>
      </c>
      <c r="C42" s="132">
        <v>1</v>
      </c>
      <c r="D42" s="141">
        <f>C42/(1+0.1)</f>
        <v>0.90909090909090906</v>
      </c>
      <c r="E42" s="141">
        <f>D42/(1+0.1)</f>
        <v>0.82644628099173545</v>
      </c>
      <c r="F42" s="141">
        <f t="shared" ref="F42:M42" si="17">E42/(1+0.1)</f>
        <v>0.75131480090157765</v>
      </c>
      <c r="G42" s="141">
        <f t="shared" si="17"/>
        <v>0.68301345536507052</v>
      </c>
      <c r="H42" s="141">
        <f t="shared" si="17"/>
        <v>0.62092132305915493</v>
      </c>
      <c r="I42" s="141">
        <f t="shared" si="17"/>
        <v>0.56447393005377711</v>
      </c>
      <c r="J42" s="141">
        <f t="shared" si="17"/>
        <v>0.51315811823070645</v>
      </c>
      <c r="K42" s="141">
        <f t="shared" si="17"/>
        <v>0.46650738020973309</v>
      </c>
      <c r="L42" s="141">
        <f t="shared" si="17"/>
        <v>0.42409761837248461</v>
      </c>
      <c r="M42" s="141">
        <f t="shared" si="17"/>
        <v>0.38554328942953142</v>
      </c>
    </row>
    <row r="43" spans="1:13">
      <c r="A43" s="126"/>
      <c r="B43" s="126" t="s">
        <v>164</v>
      </c>
      <c r="C43" s="142">
        <f t="shared" ref="C43:M43" si="18">C40*C42</f>
        <v>-35771454.480000004</v>
      </c>
      <c r="D43" s="142">
        <f>D40*D42</f>
        <v>20189464.190069187</v>
      </c>
      <c r="E43" s="142">
        <f t="shared" si="18"/>
        <v>25430023.523970161</v>
      </c>
      <c r="F43" s="142">
        <f t="shared" si="18"/>
        <v>26380424.733078439</v>
      </c>
      <c r="G43" s="142">
        <f t="shared" si="18"/>
        <v>25708951.510562915</v>
      </c>
      <c r="H43" s="142">
        <f t="shared" si="18"/>
        <v>41833383.712237529</v>
      </c>
      <c r="I43" s="142">
        <f t="shared" si="18"/>
        <v>38877437.815318584</v>
      </c>
      <c r="J43" s="142">
        <f t="shared" si="18"/>
        <v>38909679.577736489</v>
      </c>
      <c r="K43" s="142">
        <f t="shared" si="18"/>
        <v>35869718.875699282</v>
      </c>
      <c r="L43" s="142">
        <f t="shared" si="18"/>
        <v>32992916.529663805</v>
      </c>
      <c r="M43" s="142">
        <f t="shared" si="18"/>
        <v>30341928.626082905</v>
      </c>
    </row>
    <row r="44" spans="1:13">
      <c r="A44" s="126"/>
      <c r="B44" s="126" t="s">
        <v>165</v>
      </c>
      <c r="C44" s="142">
        <f>C40</f>
        <v>-35771454.480000004</v>
      </c>
      <c r="D44" s="142">
        <f>D40</f>
        <v>22208410.609076105</v>
      </c>
      <c r="E44" s="142">
        <f t="shared" ref="E44:M44" si="19">E40</f>
        <v>30770328.464003898</v>
      </c>
      <c r="F44" s="142">
        <f t="shared" si="19"/>
        <v>35112345.319727406</v>
      </c>
      <c r="G44" s="142">
        <f t="shared" si="19"/>
        <v>37640475.906615175</v>
      </c>
      <c r="H44" s="142">
        <f t="shared" si="19"/>
        <v>67373082.802395687</v>
      </c>
      <c r="I44" s="142">
        <f t="shared" si="19"/>
        <v>68873752.613543645</v>
      </c>
      <c r="J44" s="142">
        <f t="shared" si="19"/>
        <v>75823957.948655918</v>
      </c>
      <c r="K44" s="142">
        <f t="shared" si="19"/>
        <v>76889927.999794811</v>
      </c>
      <c r="L44" s="142">
        <f t="shared" si="19"/>
        <v>77795571.350476563</v>
      </c>
      <c r="M44" s="142">
        <f t="shared" si="19"/>
        <v>78699148.598794952</v>
      </c>
    </row>
    <row r="45" spans="1:13">
      <c r="A45" s="126"/>
      <c r="B45" s="126" t="s">
        <v>166</v>
      </c>
      <c r="C45" s="142">
        <f>C44</f>
        <v>-35771454.480000004</v>
      </c>
      <c r="D45" s="142">
        <f>C44+D40</f>
        <v>-13563043.870923899</v>
      </c>
      <c r="E45" s="142">
        <f>D45+E40</f>
        <v>17207284.593079999</v>
      </c>
      <c r="F45" s="142">
        <f t="shared" ref="F45:M45" si="20">E45+F40</f>
        <v>52319629.912807405</v>
      </c>
      <c r="G45" s="142">
        <f t="shared" si="20"/>
        <v>89960105.819422573</v>
      </c>
      <c r="H45" s="142">
        <f t="shared" si="20"/>
        <v>157333188.62181824</v>
      </c>
      <c r="I45" s="142">
        <f t="shared" si="20"/>
        <v>226206941.23536187</v>
      </c>
      <c r="J45" s="142">
        <f t="shared" si="20"/>
        <v>302030899.18401778</v>
      </c>
      <c r="K45" s="142">
        <f t="shared" si="20"/>
        <v>378920827.18381262</v>
      </c>
      <c r="L45" s="142">
        <f t="shared" si="20"/>
        <v>456716398.53428918</v>
      </c>
      <c r="M45" s="142">
        <f t="shared" si="20"/>
        <v>535415547.13308412</v>
      </c>
    </row>
    <row r="46" spans="1:13">
      <c r="A46" s="126"/>
      <c r="B46" s="126"/>
      <c r="C46" s="132"/>
      <c r="D46" s="142"/>
      <c r="E46" s="142"/>
      <c r="F46" s="142"/>
      <c r="G46" s="142"/>
      <c r="H46" s="142"/>
      <c r="I46" s="142"/>
      <c r="J46" s="142"/>
      <c r="K46" s="142"/>
      <c r="L46" s="142"/>
      <c r="M46" s="142"/>
    </row>
    <row r="47" spans="1:13" ht="15.75" thickBot="1">
      <c r="A47" s="126"/>
      <c r="B47" s="143"/>
      <c r="C47" s="144"/>
      <c r="D47" s="142"/>
      <c r="E47" s="142"/>
      <c r="F47" s="142"/>
      <c r="G47" s="142"/>
      <c r="H47" s="142"/>
      <c r="I47" s="142"/>
      <c r="J47" s="142"/>
      <c r="K47" s="142"/>
      <c r="L47" s="142"/>
      <c r="M47" s="142"/>
    </row>
    <row r="48" spans="1:13">
      <c r="A48" s="131"/>
      <c r="B48" s="145" t="s">
        <v>167</v>
      </c>
      <c r="C48" s="188">
        <f>NPV(10%,(D40:M40))+C40</f>
        <v>280762474.61441922</v>
      </c>
      <c r="D48" s="146"/>
      <c r="E48" s="132"/>
      <c r="F48" s="132"/>
      <c r="G48" s="132"/>
      <c r="H48" s="132"/>
      <c r="I48" s="132"/>
      <c r="J48" s="132"/>
      <c r="K48" s="132"/>
      <c r="L48" s="132"/>
      <c r="M48" s="132"/>
    </row>
    <row r="49" spans="1:13">
      <c r="A49" s="131"/>
      <c r="B49" s="147" t="s">
        <v>55</v>
      </c>
      <c r="C49" s="311">
        <f>IRR(C40:M40,0.1)</f>
        <v>0.86616259202622037</v>
      </c>
      <c r="D49" s="146"/>
      <c r="E49" s="132"/>
      <c r="F49" s="132"/>
      <c r="G49" s="132"/>
      <c r="H49" s="132"/>
      <c r="I49" s="132"/>
      <c r="J49" s="132"/>
      <c r="K49" s="132"/>
      <c r="L49" s="132"/>
      <c r="M49" s="132"/>
    </row>
    <row r="50" spans="1:13" ht="15.75" thickBot="1">
      <c r="A50" s="131"/>
      <c r="B50" s="148" t="s">
        <v>168</v>
      </c>
      <c r="C50" s="312">
        <f>IF(SUM(D53:M53)&lt;10,SUM(D53:M53)," N/A ")</f>
        <v>1.4407832008290187</v>
      </c>
      <c r="D50" s="146"/>
      <c r="E50" s="132"/>
      <c r="F50" s="132"/>
      <c r="G50" s="132"/>
      <c r="H50" s="132"/>
      <c r="I50" s="132"/>
      <c r="J50" s="132"/>
      <c r="K50" s="132"/>
      <c r="L50" s="132"/>
      <c r="M50" s="132"/>
    </row>
    <row r="51" spans="1:13">
      <c r="C51" s="149"/>
      <c r="D51" s="79">
        <v>1</v>
      </c>
      <c r="E51" s="79">
        <v>2</v>
      </c>
      <c r="F51" s="79">
        <v>3</v>
      </c>
      <c r="G51" s="79">
        <v>4</v>
      </c>
      <c r="H51" s="79">
        <v>5</v>
      </c>
      <c r="I51" s="79">
        <v>6</v>
      </c>
      <c r="J51" s="79">
        <v>7</v>
      </c>
      <c r="K51" s="79">
        <v>8</v>
      </c>
      <c r="L51" s="79">
        <v>9</v>
      </c>
      <c r="M51" s="79">
        <v>10</v>
      </c>
    </row>
    <row r="52" spans="1:13">
      <c r="C52" s="80"/>
      <c r="D52" s="194">
        <f t="shared" ref="D52:M52" si="21">IF(D45&lt;0,1,IF(D44=0,0,-C45/D44))</f>
        <v>1</v>
      </c>
      <c r="E52" s="81">
        <f t="shared" si="21"/>
        <v>0.44078320082901867</v>
      </c>
      <c r="F52" s="81">
        <f t="shared" si="21"/>
        <v>-0.49006366383086108</v>
      </c>
      <c r="G52" s="81">
        <f t="shared" si="21"/>
        <v>-1.3899832202603055</v>
      </c>
      <c r="H52" s="81">
        <f t="shared" si="21"/>
        <v>-1.335252924128087</v>
      </c>
      <c r="I52" s="81">
        <f t="shared" si="21"/>
        <v>-2.2843707893285248</v>
      </c>
      <c r="J52" s="81">
        <f t="shared" si="21"/>
        <v>-2.9833175074893554</v>
      </c>
      <c r="K52" s="81">
        <f t="shared" si="21"/>
        <v>-3.9280944467111971</v>
      </c>
      <c r="L52" s="81">
        <f t="shared" si="21"/>
        <v>-4.8707249089634894</v>
      </c>
      <c r="M52" s="81">
        <f t="shared" si="21"/>
        <v>-5.8033207050639231</v>
      </c>
    </row>
    <row r="53" spans="1:13">
      <c r="D53" s="195">
        <f t="shared" ref="D53:M53" si="22">IF(D52&gt;0,D52,0)</f>
        <v>1</v>
      </c>
      <c r="E53" s="82">
        <f t="shared" si="22"/>
        <v>0.44078320082901867</v>
      </c>
      <c r="F53" s="82">
        <f t="shared" si="22"/>
        <v>0</v>
      </c>
      <c r="G53" s="82">
        <f t="shared" si="22"/>
        <v>0</v>
      </c>
      <c r="H53" s="82">
        <f t="shared" si="22"/>
        <v>0</v>
      </c>
      <c r="I53" s="82">
        <f t="shared" si="22"/>
        <v>0</v>
      </c>
      <c r="J53" s="82">
        <f t="shared" si="22"/>
        <v>0</v>
      </c>
      <c r="K53" s="82">
        <f t="shared" si="22"/>
        <v>0</v>
      </c>
      <c r="L53" s="82">
        <f t="shared" si="22"/>
        <v>0</v>
      </c>
      <c r="M53" s="82">
        <f t="shared" si="22"/>
        <v>0</v>
      </c>
    </row>
    <row r="54" spans="1:13">
      <c r="A54" s="88"/>
      <c r="B54" t="s">
        <v>259</v>
      </c>
      <c r="D54" s="195"/>
      <c r="E54" s="82"/>
      <c r="F54" s="82"/>
      <c r="G54" s="82"/>
      <c r="H54" s="82"/>
      <c r="I54" s="82"/>
      <c r="J54" s="82"/>
      <c r="K54" s="82"/>
      <c r="L54" s="82"/>
      <c r="M54" s="82"/>
    </row>
    <row r="55" spans="1:13">
      <c r="B55" t="s">
        <v>230</v>
      </c>
    </row>
    <row r="56" spans="1:13">
      <c r="B56" t="s">
        <v>363</v>
      </c>
    </row>
    <row r="57" spans="1:13">
      <c r="B57" t="s">
        <v>231</v>
      </c>
      <c r="H57" s="83"/>
      <c r="I57" s="83"/>
      <c r="J57" s="83"/>
      <c r="K57" s="83"/>
      <c r="L57" s="83"/>
      <c r="M57" s="83"/>
    </row>
    <row r="58" spans="1:13">
      <c r="A58" s="88"/>
      <c r="B58" t="s">
        <v>236</v>
      </c>
      <c r="H58" s="83"/>
      <c r="I58" s="83"/>
      <c r="J58" s="83"/>
      <c r="K58" s="83"/>
      <c r="L58" s="83"/>
      <c r="M58" s="83"/>
    </row>
    <row r="59" spans="1:13">
      <c r="A59" s="88"/>
      <c r="B59" t="s">
        <v>235</v>
      </c>
      <c r="H59" s="83"/>
      <c r="I59" s="83"/>
      <c r="J59" s="83"/>
      <c r="K59" s="83"/>
      <c r="L59" s="83"/>
      <c r="M59" s="83"/>
    </row>
    <row r="60" spans="1:13">
      <c r="B60" t="s">
        <v>233</v>
      </c>
    </row>
    <row r="61" spans="1:13">
      <c r="C61" s="2" t="s">
        <v>244</v>
      </c>
      <c r="D61" s="181">
        <v>0.53</v>
      </c>
      <c r="F61" s="172"/>
      <c r="G61" s="172"/>
    </row>
    <row r="62" spans="1:13">
      <c r="C62" s="2" t="s">
        <v>245</v>
      </c>
      <c r="D62" s="181">
        <v>0.24</v>
      </c>
      <c r="F62" s="172"/>
      <c r="G62" s="172"/>
    </row>
    <row r="63" spans="1:13">
      <c r="C63" s="2" t="s">
        <v>246</v>
      </c>
      <c r="D63" s="181">
        <v>0.23</v>
      </c>
      <c r="G63" s="172"/>
    </row>
    <row r="65" spans="2:12">
      <c r="B65" t="s">
        <v>238</v>
      </c>
    </row>
    <row r="66" spans="2:12">
      <c r="B66" t="s">
        <v>239</v>
      </c>
    </row>
    <row r="67" spans="2:12">
      <c r="B67" t="s">
        <v>237</v>
      </c>
      <c r="E67" s="345"/>
      <c r="F67" s="345"/>
      <c r="G67" s="345"/>
      <c r="H67" s="345"/>
      <c r="I67" s="345"/>
      <c r="J67" s="345"/>
    </row>
    <row r="68" spans="2:12">
      <c r="E68" s="346"/>
      <c r="F68" s="346"/>
      <c r="G68" s="346"/>
      <c r="H68" s="346"/>
      <c r="I68" s="346"/>
      <c r="J68" s="346"/>
    </row>
    <row r="69" spans="2:12">
      <c r="E69" s="83"/>
      <c r="F69" s="83"/>
      <c r="G69" s="84"/>
      <c r="H69" s="84"/>
      <c r="I69" s="84"/>
      <c r="J69" s="84"/>
      <c r="L69" s="84"/>
    </row>
    <row r="70" spans="2:12">
      <c r="E70" s="85"/>
      <c r="F70" s="343"/>
      <c r="G70" s="343"/>
      <c r="H70" s="343"/>
      <c r="I70" s="343"/>
      <c r="J70" s="343"/>
    </row>
    <row r="71" spans="2:12">
      <c r="E71" s="83"/>
      <c r="F71" s="84"/>
      <c r="G71" s="84"/>
      <c r="H71" s="84"/>
      <c r="I71" s="84"/>
      <c r="J71" s="84"/>
      <c r="L71" s="84"/>
    </row>
    <row r="72" spans="2:12">
      <c r="E72" s="83"/>
      <c r="F72" s="83"/>
      <c r="G72" s="83"/>
      <c r="H72" s="83"/>
      <c r="I72" s="83"/>
      <c r="J72" s="83"/>
      <c r="L72" s="83"/>
    </row>
    <row r="73" spans="2:12">
      <c r="E73" s="85"/>
      <c r="F73" s="343"/>
      <c r="G73" s="343"/>
      <c r="H73" s="343"/>
      <c r="I73" s="343"/>
      <c r="J73" s="343"/>
    </row>
    <row r="74" spans="2:12">
      <c r="E74" s="83"/>
      <c r="F74" s="84"/>
      <c r="G74" s="84"/>
      <c r="H74" s="84"/>
      <c r="I74" s="84"/>
      <c r="J74" s="84"/>
      <c r="L74" s="84"/>
    </row>
    <row r="75" spans="2:12">
      <c r="E75" s="83"/>
      <c r="F75" s="83"/>
      <c r="G75" s="83"/>
      <c r="H75" s="83"/>
      <c r="I75" s="83"/>
      <c r="J75" s="83"/>
      <c r="L75" s="83"/>
    </row>
    <row r="76" spans="2:12">
      <c r="E76" s="85"/>
      <c r="F76" s="343"/>
      <c r="G76" s="343"/>
      <c r="H76" s="343"/>
      <c r="I76" s="343"/>
      <c r="J76" s="343"/>
    </row>
    <row r="77" spans="2:12">
      <c r="E77" s="83"/>
      <c r="F77" s="84"/>
      <c r="G77" s="84"/>
      <c r="H77" s="84"/>
      <c r="I77" s="84"/>
      <c r="J77" s="84"/>
      <c r="L77" s="84"/>
    </row>
    <row r="78" spans="2:12">
      <c r="E78" s="83"/>
      <c r="F78" s="83"/>
      <c r="G78" s="83"/>
      <c r="H78" s="83"/>
      <c r="I78" s="83"/>
      <c r="J78" s="83"/>
      <c r="L78" s="83"/>
    </row>
  </sheetData>
  <mergeCells count="6">
    <mergeCell ref="F76:J76"/>
    <mergeCell ref="D1:M1"/>
    <mergeCell ref="E67:J67"/>
    <mergeCell ref="E68:J68"/>
    <mergeCell ref="F70:J70"/>
    <mergeCell ref="F73:J73"/>
  </mergeCells>
  <hyperlinks>
    <hyperlink ref="B48" r:id="rId1" display="NPV@12%" xr:uid="{0BB7C041-A4AB-43FA-B143-B912C3F05368}"/>
  </hyperlinks>
  <pageMargins left="0.7" right="0.7" top="0.75" bottom="0.75" header="0.3" footer="0.3"/>
  <pageSetup orientation="portrait" r:id="rId2"/>
  <ignoredErrors>
    <ignoredError sqref="E11:H11 E13:H13" formula="1"/>
  </ignoredError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0C8401-7663-453E-8EB8-DBA5B6BBAC0E}">
  <dimension ref="A1:O50"/>
  <sheetViews>
    <sheetView zoomScale="91" workbookViewId="0">
      <selection activeCell="D10" sqref="D10"/>
    </sheetView>
  </sheetViews>
  <sheetFormatPr defaultRowHeight="15"/>
  <cols>
    <col min="1" max="1" width="9.28515625" bestFit="1" customWidth="1"/>
    <col min="2" max="2" width="61.85546875" bestFit="1" customWidth="1"/>
    <col min="3" max="3" width="17.5703125" customWidth="1"/>
    <col min="4" max="5" width="13.42578125" bestFit="1" customWidth="1"/>
    <col min="6" max="6" width="11.7109375" bestFit="1" customWidth="1"/>
    <col min="7" max="9" width="13.42578125" bestFit="1" customWidth="1"/>
    <col min="10" max="10" width="16.42578125" bestFit="1" customWidth="1"/>
    <col min="11" max="13" width="11.5703125" bestFit="1" customWidth="1"/>
  </cols>
  <sheetData>
    <row r="1" spans="1:13" ht="15.75" thickBot="1"/>
    <row r="2" spans="1:13" ht="15.75" thickBot="1">
      <c r="A2" s="13"/>
      <c r="B2" s="13"/>
      <c r="C2" s="350" t="s">
        <v>110</v>
      </c>
      <c r="D2" s="351"/>
      <c r="E2" s="351"/>
      <c r="F2" s="351"/>
      <c r="G2" s="351"/>
      <c r="H2" s="351"/>
      <c r="I2" s="351"/>
      <c r="J2" s="351"/>
      <c r="K2" s="351"/>
      <c r="L2" s="351"/>
      <c r="M2" s="351"/>
    </row>
    <row r="3" spans="1:13" ht="15.75" thickBot="1">
      <c r="A3" s="12"/>
      <c r="B3" s="15" t="s">
        <v>41</v>
      </c>
      <c r="C3" s="14" t="s">
        <v>42</v>
      </c>
      <c r="D3" s="347" t="s">
        <v>43</v>
      </c>
      <c r="E3" s="348"/>
      <c r="F3" s="348"/>
      <c r="G3" s="348"/>
      <c r="H3" s="348"/>
      <c r="I3" s="348"/>
      <c r="J3" s="348"/>
      <c r="K3" s="349"/>
    </row>
    <row r="4" spans="1:13" ht="15.75" thickBot="1">
      <c r="A4" s="16" t="s">
        <v>1</v>
      </c>
      <c r="B4" s="16" t="s">
        <v>44</v>
      </c>
      <c r="C4" s="18">
        <v>0</v>
      </c>
      <c r="D4" s="19">
        <v>1</v>
      </c>
      <c r="E4" s="19">
        <v>2</v>
      </c>
      <c r="F4" s="19">
        <v>3</v>
      </c>
      <c r="G4" s="19">
        <v>4</v>
      </c>
      <c r="H4" s="19">
        <v>5</v>
      </c>
      <c r="I4" s="19">
        <v>6</v>
      </c>
      <c r="J4" s="20">
        <v>7</v>
      </c>
      <c r="K4" s="20">
        <v>8</v>
      </c>
      <c r="L4" s="20">
        <v>9</v>
      </c>
      <c r="M4" s="20">
        <v>10</v>
      </c>
    </row>
    <row r="5" spans="1:13" ht="15.75" thickBot="1">
      <c r="A5" s="2"/>
      <c r="B5" s="2"/>
      <c r="C5" s="21"/>
      <c r="D5" s="22"/>
      <c r="E5" s="22"/>
      <c r="F5" s="22"/>
      <c r="G5" s="22"/>
      <c r="H5" s="22"/>
      <c r="I5" s="22"/>
      <c r="J5" s="23"/>
      <c r="K5" s="2"/>
    </row>
    <row r="6" spans="1:13" ht="15.75" thickBot="1">
      <c r="A6" s="2">
        <v>1</v>
      </c>
      <c r="B6" s="2" t="s">
        <v>116</v>
      </c>
      <c r="C6" s="21"/>
      <c r="D6" s="22"/>
      <c r="E6" s="22"/>
      <c r="F6" s="22"/>
      <c r="G6" s="22"/>
      <c r="H6" s="22"/>
      <c r="I6" s="22"/>
      <c r="J6" s="24"/>
      <c r="K6" s="2"/>
    </row>
    <row r="7" spans="1:13" ht="15.75" thickBot="1">
      <c r="A7" s="2"/>
      <c r="B7" s="2" t="s">
        <v>117</v>
      </c>
      <c r="C7" s="54">
        <f>Capex!D19</f>
        <v>35771454.480000004</v>
      </c>
      <c r="D7" s="22"/>
      <c r="E7" s="22"/>
      <c r="F7" s="22"/>
      <c r="G7" s="22"/>
      <c r="H7" s="22"/>
      <c r="I7" s="22"/>
      <c r="J7" s="24"/>
      <c r="K7" s="2"/>
    </row>
    <row r="8" spans="1:13" ht="15.75" thickBot="1">
      <c r="A8" s="2"/>
      <c r="B8" s="2"/>
      <c r="C8" s="57"/>
      <c r="D8" s="71" t="s">
        <v>145</v>
      </c>
      <c r="E8" s="71" t="s">
        <v>146</v>
      </c>
      <c r="F8" s="71" t="s">
        <v>147</v>
      </c>
      <c r="G8" s="71" t="s">
        <v>147</v>
      </c>
      <c r="H8" s="71" t="s">
        <v>148</v>
      </c>
      <c r="I8" s="71" t="s">
        <v>149</v>
      </c>
      <c r="J8" s="71" t="s">
        <v>150</v>
      </c>
      <c r="K8" s="2" t="s">
        <v>156</v>
      </c>
      <c r="L8" s="2" t="s">
        <v>156</v>
      </c>
      <c r="M8" s="2" t="s">
        <v>156</v>
      </c>
    </row>
    <row r="9" spans="1:13" ht="15.75" thickBot="1">
      <c r="A9" s="2">
        <v>2</v>
      </c>
      <c r="B9" s="2" t="s">
        <v>45</v>
      </c>
      <c r="C9" s="21"/>
      <c r="D9" s="58">
        <f>3.03*42000*0.6*1000</f>
        <v>76355999.999999985</v>
      </c>
      <c r="E9" s="58">
        <f>3.08*42000*0.8*1000</f>
        <v>103488000</v>
      </c>
      <c r="F9" s="58">
        <f>3.12*42000*0.95*1000</f>
        <v>124488000</v>
      </c>
      <c r="G9" s="58">
        <f>3.17*42000*0.95*1000</f>
        <v>126483000</v>
      </c>
      <c r="H9" s="58">
        <f>3.22*84000*0.7*1000</f>
        <v>189336000</v>
      </c>
      <c r="I9" s="58">
        <f>3.26*84000*0.8*1000</f>
        <v>219072000</v>
      </c>
      <c r="J9" s="58">
        <f>3.03*84000*0.9*1000</f>
        <v>229067999.99999997</v>
      </c>
      <c r="K9" s="58">
        <f>3.03*84000*0.95*1000</f>
        <v>241793999.99999997</v>
      </c>
      <c r="L9" s="58">
        <f>3.03*84000*0.95*1000</f>
        <v>241793999.99999997</v>
      </c>
      <c r="M9" s="58">
        <f>3.03*84000*0.95*1000</f>
        <v>241793999.99999997</v>
      </c>
    </row>
    <row r="10" spans="1:13" ht="15.75" thickBot="1">
      <c r="A10" s="2"/>
      <c r="B10" s="73" t="s">
        <v>151</v>
      </c>
      <c r="C10" s="21"/>
      <c r="D10" s="58">
        <f>42*0.6</f>
        <v>25.2</v>
      </c>
      <c r="E10" s="58">
        <f>42*0.8</f>
        <v>33.6</v>
      </c>
      <c r="F10" s="58">
        <f>42*0.95</f>
        <v>39.9</v>
      </c>
      <c r="G10" s="58">
        <f>42*0.95</f>
        <v>39.9</v>
      </c>
      <c r="H10" s="58">
        <f>84*0.7</f>
        <v>58.8</v>
      </c>
      <c r="I10" s="58">
        <f>84*0.8</f>
        <v>67.2</v>
      </c>
      <c r="J10" s="58">
        <f>84*0.9</f>
        <v>75.600000000000009</v>
      </c>
      <c r="K10" s="2">
        <f>84*0.95</f>
        <v>79.8</v>
      </c>
      <c r="L10" s="2">
        <f>84*0.95</f>
        <v>79.8</v>
      </c>
      <c r="M10" s="2">
        <f>84*0.95</f>
        <v>79.8</v>
      </c>
    </row>
    <row r="11" spans="1:13" ht="15.75" thickBot="1">
      <c r="A11" s="2"/>
      <c r="B11" s="73" t="s">
        <v>152</v>
      </c>
      <c r="C11" s="21"/>
      <c r="D11" s="72">
        <v>3.03</v>
      </c>
      <c r="E11" s="72">
        <f>D11*1.015</f>
        <v>3.0754499999999996</v>
      </c>
      <c r="F11" s="72">
        <f t="shared" ref="F11:M11" si="0">E11*1.015</f>
        <v>3.1215817499999994</v>
      </c>
      <c r="G11" s="72">
        <f t="shared" si="0"/>
        <v>3.1684054762499989</v>
      </c>
      <c r="H11" s="72">
        <f t="shared" si="0"/>
        <v>3.2159315583937484</v>
      </c>
      <c r="I11" s="72">
        <f t="shared" si="0"/>
        <v>3.2641705317696545</v>
      </c>
      <c r="J11" s="72">
        <f t="shared" si="0"/>
        <v>3.313133089746199</v>
      </c>
      <c r="K11" s="72">
        <f t="shared" si="0"/>
        <v>3.3628300860923916</v>
      </c>
      <c r="L11" s="72">
        <f t="shared" si="0"/>
        <v>3.4132725373837771</v>
      </c>
      <c r="M11" s="72">
        <f t="shared" si="0"/>
        <v>3.4644716254445336</v>
      </c>
    </row>
    <row r="12" spans="1:13" ht="15.75" thickBot="1">
      <c r="A12" s="2"/>
      <c r="B12" s="73"/>
      <c r="C12" s="21"/>
      <c r="D12" s="75"/>
      <c r="E12" s="72"/>
      <c r="F12" s="72"/>
      <c r="G12" s="72"/>
      <c r="H12" s="72"/>
      <c r="I12" s="72"/>
      <c r="J12" s="72"/>
      <c r="K12" s="2"/>
      <c r="L12" s="33"/>
    </row>
    <row r="13" spans="1:13" ht="15.75" thickBot="1">
      <c r="A13" s="2">
        <v>3</v>
      </c>
      <c r="B13" s="63" t="s">
        <v>153</v>
      </c>
      <c r="C13" s="21"/>
      <c r="D13" s="74">
        <f>SUM(D14:D16)</f>
        <v>10488078.672502086</v>
      </c>
      <c r="E13" s="74">
        <f t="shared" ref="E13:M13" si="1">SUM(E14:E16)</f>
        <v>3909670.554072774</v>
      </c>
      <c r="F13" s="74">
        <f t="shared" si="1"/>
        <v>2054083.6181104705</v>
      </c>
      <c r="G13" s="74">
        <f t="shared" si="1"/>
        <v>1190955.082389567</v>
      </c>
      <c r="H13" s="74">
        <f t="shared" si="1"/>
        <v>13245877.195117651</v>
      </c>
      <c r="I13" s="74">
        <f t="shared" si="1"/>
        <v>2701664.1242740368</v>
      </c>
      <c r="J13" s="74">
        <f t="shared" si="1"/>
        <v>3285879.3109250562</v>
      </c>
      <c r="K13" s="74">
        <f t="shared" si="1"/>
        <v>551223.78158597741</v>
      </c>
      <c r="L13" s="74">
        <f t="shared" si="1"/>
        <v>536736.86174479802</v>
      </c>
      <c r="M13" s="74">
        <f t="shared" si="1"/>
        <v>542950.25291477575</v>
      </c>
    </row>
    <row r="14" spans="1:13" ht="15.75" thickBot="1">
      <c r="A14" s="2"/>
      <c r="B14" s="2" t="s">
        <v>154</v>
      </c>
      <c r="C14" s="21"/>
      <c r="D14" s="76">
        <f>'Working sheet'!E5</f>
        <v>16348898.919452053</v>
      </c>
      <c r="E14" s="76">
        <f>'Working sheet'!F5</f>
        <v>5808714.6060098642</v>
      </c>
      <c r="F14" s="76">
        <f>'Working sheet'!G5</f>
        <v>3088515.5284189414</v>
      </c>
      <c r="G14" s="76">
        <f>'Working sheet'!H5</f>
        <v>1788220.0073886618</v>
      </c>
      <c r="H14" s="76">
        <f>'Working sheet'!I5</f>
        <v>19509537.506686062</v>
      </c>
      <c r="I14" s="76">
        <f>'Working sheet'!J5</f>
        <v>5050920.465108241</v>
      </c>
      <c r="J14" s="76">
        <f>'Working sheet'!K5</f>
        <v>4939616.468790479</v>
      </c>
      <c r="K14" s="76">
        <f>'Working sheet'!L5</f>
        <v>852121.91515499598</v>
      </c>
      <c r="L14" s="76">
        <f>'Working sheet'!M5</f>
        <v>860798.18125513475</v>
      </c>
      <c r="M14" s="76">
        <f>'Working sheet'!N5</f>
        <v>873710.15397395822</v>
      </c>
    </row>
    <row r="15" spans="1:13" ht="15.75" thickBot="1">
      <c r="A15" s="2"/>
      <c r="B15" s="2" t="s">
        <v>46</v>
      </c>
      <c r="C15" s="21"/>
      <c r="D15" s="76">
        <f>'Working sheet'!E10</f>
        <v>5860820.246949967</v>
      </c>
      <c r="E15" s="76">
        <f>'Working sheet'!F10</f>
        <v>1899044.0519370898</v>
      </c>
      <c r="F15" s="76">
        <f>'Working sheet'!G10</f>
        <v>1034431.9103084709</v>
      </c>
      <c r="G15" s="76">
        <f>'Working sheet'!H10</f>
        <v>597264.92499909457</v>
      </c>
      <c r="H15" s="76">
        <f>'Working sheet'!I10</f>
        <v>6263660.3115684101</v>
      </c>
      <c r="I15" s="76">
        <f>'Working sheet'!J10</f>
        <v>2349256.3408342046</v>
      </c>
      <c r="J15" s="76">
        <f>'Working sheet'!K10</f>
        <v>1653737.1578654223</v>
      </c>
      <c r="K15" s="76">
        <f>'Working sheet'!L10</f>
        <v>300898.13356901845</v>
      </c>
      <c r="L15" s="76">
        <f>'Working sheet'!M10</f>
        <v>324061.31951033662</v>
      </c>
      <c r="M15" s="76">
        <f>'Working sheet'!N10</f>
        <v>330759.90105918254</v>
      </c>
    </row>
    <row r="16" spans="1:13" ht="15.75" thickBot="1">
      <c r="A16" s="2"/>
      <c r="B16" s="2" t="s">
        <v>155</v>
      </c>
      <c r="C16" s="21"/>
      <c r="D16" s="76">
        <f>'Working sheet'!E15</f>
        <v>-11721640.493899934</v>
      </c>
      <c r="E16" s="76">
        <f>'Working sheet'!F15</f>
        <v>-3798088.1038741795</v>
      </c>
      <c r="F16" s="76">
        <f>'Working sheet'!G15</f>
        <v>-2068863.8206169419</v>
      </c>
      <c r="G16" s="76">
        <f>'Working sheet'!H15</f>
        <v>-1194529.8499981891</v>
      </c>
      <c r="H16" s="76">
        <f>'Working sheet'!I15</f>
        <v>-12527320.62313682</v>
      </c>
      <c r="I16" s="76">
        <f>'Working sheet'!J15</f>
        <v>-4698512.6816684091</v>
      </c>
      <c r="J16" s="76">
        <f>'Working sheet'!K15</f>
        <v>-3307474.3157308446</v>
      </c>
      <c r="K16" s="76">
        <f>'Working sheet'!L15</f>
        <v>-601796.2671380369</v>
      </c>
      <c r="L16" s="76">
        <f>'Working sheet'!M15</f>
        <v>-648122.63902067323</v>
      </c>
      <c r="M16" s="76">
        <f>'Working sheet'!N15</f>
        <v>-661519.80211836507</v>
      </c>
    </row>
    <row r="17" spans="1:15" ht="15.75" thickBot="1">
      <c r="A17" s="2"/>
      <c r="B17" s="2"/>
      <c r="C17" s="21"/>
      <c r="D17" s="22"/>
      <c r="E17" s="22"/>
      <c r="F17" s="22"/>
      <c r="G17" s="22"/>
      <c r="H17" s="22"/>
      <c r="I17" s="22"/>
      <c r="J17" s="24"/>
      <c r="K17" s="2"/>
    </row>
    <row r="18" spans="1:15" ht="15.75" thickBot="1">
      <c r="A18" s="2">
        <v>4</v>
      </c>
      <c r="B18" s="2" t="s">
        <v>118</v>
      </c>
      <c r="C18" s="59">
        <f>C8</f>
        <v>0</v>
      </c>
      <c r="D18" s="60">
        <f>D9</f>
        <v>76355999.999999985</v>
      </c>
      <c r="E18" s="60">
        <f>E9</f>
        <v>103488000</v>
      </c>
      <c r="F18" s="26">
        <f t="shared" ref="F18:M18" si="2">F9</f>
        <v>124488000</v>
      </c>
      <c r="G18" s="26">
        <f t="shared" si="2"/>
        <v>126483000</v>
      </c>
      <c r="H18" s="26">
        <f t="shared" si="2"/>
        <v>189336000</v>
      </c>
      <c r="I18" s="26">
        <f t="shared" si="2"/>
        <v>219072000</v>
      </c>
      <c r="J18" s="26">
        <f t="shared" si="2"/>
        <v>229067999.99999997</v>
      </c>
      <c r="K18" s="26">
        <f t="shared" si="2"/>
        <v>241793999.99999997</v>
      </c>
      <c r="L18" s="26">
        <f t="shared" si="2"/>
        <v>241793999.99999997</v>
      </c>
      <c r="M18" s="26">
        <f t="shared" si="2"/>
        <v>241793999.99999997</v>
      </c>
    </row>
    <row r="19" spans="1:15" ht="15.75" thickBot="1">
      <c r="A19" s="2"/>
      <c r="B19" s="2"/>
      <c r="C19" s="21"/>
      <c r="D19" s="22"/>
      <c r="E19" s="22"/>
      <c r="F19" s="22"/>
      <c r="G19" s="22"/>
      <c r="H19" s="22"/>
      <c r="I19" s="22"/>
      <c r="J19" s="24"/>
      <c r="K19" s="2"/>
    </row>
    <row r="20" spans="1:15" ht="15.75" thickBot="1">
      <c r="A20" s="17" t="s">
        <v>2</v>
      </c>
      <c r="B20" s="17" t="s">
        <v>47</v>
      </c>
      <c r="C20" s="21"/>
      <c r="D20" s="22"/>
      <c r="E20" s="22"/>
      <c r="F20" s="22"/>
      <c r="G20" s="22"/>
      <c r="H20" s="22"/>
      <c r="I20" s="22"/>
      <c r="J20" s="24"/>
      <c r="K20" s="2"/>
    </row>
    <row r="21" spans="1:15" ht="15.75" thickBot="1">
      <c r="A21" s="2"/>
      <c r="B21" s="2"/>
      <c r="C21" s="21"/>
      <c r="D21" s="22"/>
      <c r="E21" s="22"/>
      <c r="F21" s="22"/>
      <c r="G21" s="22"/>
      <c r="H21" s="22"/>
      <c r="I21" s="22"/>
      <c r="J21" s="24"/>
      <c r="K21" s="2"/>
    </row>
    <row r="22" spans="1:15" ht="15.75" thickBot="1">
      <c r="A22" s="2">
        <v>1</v>
      </c>
      <c r="B22" s="2" t="s">
        <v>48</v>
      </c>
      <c r="C22" s="25">
        <f>C8</f>
        <v>0</v>
      </c>
      <c r="D22" s="22"/>
      <c r="E22" s="22"/>
      <c r="F22" s="22"/>
      <c r="G22" s="22"/>
      <c r="H22" s="22"/>
      <c r="I22" s="22"/>
      <c r="J22" s="24"/>
      <c r="K22" s="2"/>
    </row>
    <row r="23" spans="1:15" ht="15.75" thickBot="1">
      <c r="A23" s="2"/>
      <c r="B23" s="2"/>
      <c r="C23" s="21"/>
      <c r="D23" s="22"/>
      <c r="E23" s="22"/>
      <c r="F23" s="22"/>
      <c r="G23" s="22"/>
      <c r="H23" s="22"/>
      <c r="I23" s="22"/>
      <c r="J23" s="24"/>
      <c r="K23" s="2"/>
    </row>
    <row r="24" spans="1:15" ht="15.75" thickBot="1">
      <c r="A24" s="2">
        <v>2</v>
      </c>
      <c r="B24" s="34" t="s">
        <v>49</v>
      </c>
      <c r="C24" s="21"/>
      <c r="D24" s="22"/>
      <c r="E24" s="22"/>
      <c r="F24" s="22"/>
      <c r="G24" s="22"/>
      <c r="H24" s="22"/>
      <c r="I24" s="22"/>
      <c r="J24" s="24"/>
      <c r="K24" s="2"/>
    </row>
    <row r="25" spans="1:15" ht="15.75" thickBot="1">
      <c r="A25" s="2"/>
      <c r="B25" s="2" t="s">
        <v>125</v>
      </c>
      <c r="C25" s="21"/>
      <c r="D25" s="35">
        <f>Opex!D8+Opex!D9+Opex!D10+Opex!D12+Opex!D15+Opex!D17+Opex!D19</f>
        <v>25214676.271454796</v>
      </c>
      <c r="E25" s="35">
        <v>27063843.190680083</v>
      </c>
      <c r="F25" s="35">
        <v>27063843.190680083</v>
      </c>
      <c r="G25" s="35">
        <v>27063843.190680083</v>
      </c>
      <c r="H25" s="35">
        <v>27063843.190680083</v>
      </c>
      <c r="I25" s="35">
        <v>27063843.190680083</v>
      </c>
      <c r="J25" s="35">
        <v>27063843.190680083</v>
      </c>
      <c r="K25" s="35">
        <v>27063843.190680083</v>
      </c>
      <c r="L25" s="35">
        <v>27063843.190680083</v>
      </c>
      <c r="M25" s="35">
        <v>31043737.654680081</v>
      </c>
    </row>
    <row r="26" spans="1:15" ht="15.75" thickBot="1">
      <c r="A26" s="2"/>
      <c r="B26" s="2" t="s">
        <v>119</v>
      </c>
      <c r="C26" s="21"/>
      <c r="D26" s="35">
        <f>(Opex!D4*0.6)/2</f>
        <v>49140000</v>
      </c>
      <c r="E26" s="35">
        <f>(Opex!D4*0.8)/2</f>
        <v>65520000</v>
      </c>
      <c r="F26" s="35">
        <f>(Opex!D4*0.95)/2</f>
        <v>77805000</v>
      </c>
      <c r="G26" s="35">
        <f>(Opex!D4*0.95)/2</f>
        <v>77805000</v>
      </c>
      <c r="H26" s="35">
        <f>(Opex!D4*0.7)</f>
        <v>114660000</v>
      </c>
      <c r="I26" s="35">
        <f>(Opex!F4*0.8)</f>
        <v>9605232000</v>
      </c>
      <c r="J26" s="35">
        <f>(Opex!D4*0.8)</f>
        <v>131040000</v>
      </c>
      <c r="K26" s="35">
        <f>(Opex!D4*0.8)</f>
        <v>131040000</v>
      </c>
      <c r="L26" s="35">
        <f>(Opex!D4*0.8)</f>
        <v>131040000</v>
      </c>
      <c r="M26" s="35">
        <f>(Opex!D4*0.8)</f>
        <v>131040000</v>
      </c>
    </row>
    <row r="27" spans="1:15" ht="15.75" thickBot="1">
      <c r="A27" s="2"/>
      <c r="B27" s="2" t="s">
        <v>124</v>
      </c>
      <c r="C27" s="21"/>
      <c r="D27" s="35">
        <f>((Opex!D5+Opex!D6)*0.6)/2</f>
        <v>692874</v>
      </c>
      <c r="E27" s="35">
        <f>((Opex!D6+Opex!D5)*0.8)/2</f>
        <v>923832</v>
      </c>
      <c r="F27" s="35">
        <f>((Opex!D6+Opex!D5)*0.95)/2</f>
        <v>1097050.5</v>
      </c>
      <c r="G27" s="35">
        <f>((Opex!D6+Opex!D5)*0.95)/2</f>
        <v>1097050.5</v>
      </c>
      <c r="H27" s="35">
        <f>((Opex!D6+Opex!D5)*0.7)</f>
        <v>1616706</v>
      </c>
      <c r="I27" s="35">
        <f>((Opex!D6+Opex!D5)*0.8)</f>
        <v>1847664</v>
      </c>
      <c r="J27" s="35">
        <f>((Opex!D6+Opex!D5)*0.95)</f>
        <v>2194101</v>
      </c>
      <c r="K27" s="35">
        <f>((Opex!D6+Opex!D5)*0.95)</f>
        <v>2194101</v>
      </c>
      <c r="L27" s="35">
        <f>((Opex!D6+Opex!D5)*0.95)</f>
        <v>2194101</v>
      </c>
      <c r="M27" s="35">
        <f>((Opex!D6+Opex!D5)*0.95)</f>
        <v>2194101</v>
      </c>
    </row>
    <row r="28" spans="1:15" ht="15.75" thickBot="1">
      <c r="A28" s="2"/>
      <c r="B28" s="2" t="s">
        <v>123</v>
      </c>
      <c r="C28" s="21"/>
      <c r="D28" s="35">
        <f>((Opex!$D$7+Opex!$D$11+Opex!$D$18)*0.6)/2</f>
        <v>11713110.83071897</v>
      </c>
      <c r="E28" s="35">
        <f>((Opex!$D$7+Opex!$D$11+Opex!$D$18)*0.8)/2</f>
        <v>15617481.107625294</v>
      </c>
      <c r="F28" s="35">
        <f>((Opex!$D$7+Opex!$D$11+Opex!$D$18)*0.95)/2</f>
        <v>18545758.815305036</v>
      </c>
      <c r="G28" s="35">
        <f>((Opex!$D$7+Opex!$D$11+Opex!$D$18)*0.95)/2</f>
        <v>18545758.815305036</v>
      </c>
      <c r="H28" s="35">
        <f>((Opex!$D$7+Opex!$D$11+Opex!$D$18)*0.7)</f>
        <v>27330591.938344263</v>
      </c>
      <c r="I28" s="35">
        <f>((Opex!$D$7+Opex!$D$11+Opex!$D$18)*0.8)</f>
        <v>31234962.215250589</v>
      </c>
      <c r="J28" s="35">
        <f>((Opex!$D$7+Opex!$D$11+Opex!$D$18)*0.9)</f>
        <v>35139332.492156915</v>
      </c>
      <c r="K28" s="35">
        <f>((Opex!$D$7+Opex!$D$11+Opex!$D$18)*0.95)</f>
        <v>37091517.630610071</v>
      </c>
      <c r="L28" s="35">
        <f>((Opex!$D$7+Opex!$D$11+Opex!$D$18)*0.95)</f>
        <v>37091517.630610071</v>
      </c>
      <c r="M28" s="35">
        <f>((Opex!$D$7+Opex!$D$11+Opex!$D$18)*0.95)</f>
        <v>37091517.630610071</v>
      </c>
    </row>
    <row r="29" spans="1:15" ht="15.75" thickBot="1">
      <c r="A29" s="2"/>
      <c r="B29" s="2" t="s">
        <v>108</v>
      </c>
      <c r="C29" s="21"/>
      <c r="D29" s="26">
        <v>0</v>
      </c>
      <c r="E29" s="26">
        <v>0</v>
      </c>
      <c r="F29" s="26">
        <v>0</v>
      </c>
      <c r="G29" s="26">
        <v>0</v>
      </c>
      <c r="H29" s="26">
        <v>0</v>
      </c>
      <c r="I29" s="26">
        <v>0</v>
      </c>
      <c r="J29" s="26">
        <v>0</v>
      </c>
      <c r="K29" s="2"/>
    </row>
    <row r="30" spans="1:15" ht="15.75" thickBot="1">
      <c r="A30" s="2"/>
      <c r="B30" s="2" t="s">
        <v>50</v>
      </c>
      <c r="C30" s="21"/>
      <c r="D30" s="35">
        <f>SUM(D25:D29)</f>
        <v>86760661.102173761</v>
      </c>
      <c r="E30" s="35">
        <f t="shared" ref="E30:M30" si="3">SUM(E25:E29)</f>
        <v>109125156.29830538</v>
      </c>
      <c r="F30" s="35">
        <f t="shared" si="3"/>
        <v>124511652.50598513</v>
      </c>
      <c r="G30" s="35">
        <f t="shared" si="3"/>
        <v>124511652.50598513</v>
      </c>
      <c r="H30" s="35">
        <f t="shared" si="3"/>
        <v>170671141.12902436</v>
      </c>
      <c r="I30" s="35">
        <f t="shared" si="3"/>
        <v>9665378469.4059296</v>
      </c>
      <c r="J30" s="35">
        <f t="shared" si="3"/>
        <v>195437276.68283701</v>
      </c>
      <c r="K30" s="35">
        <f t="shared" si="3"/>
        <v>197389461.82129017</v>
      </c>
      <c r="L30" s="35">
        <f t="shared" si="3"/>
        <v>197389461.82129017</v>
      </c>
      <c r="M30" s="35">
        <f t="shared" si="3"/>
        <v>201369356.28529015</v>
      </c>
    </row>
    <row r="31" spans="1:15" ht="15.75" thickBot="1">
      <c r="A31" s="2"/>
      <c r="B31" s="2"/>
      <c r="C31" s="21"/>
      <c r="D31" s="22"/>
      <c r="E31" s="22"/>
      <c r="F31" s="22"/>
      <c r="G31" s="22"/>
      <c r="H31" s="22"/>
      <c r="I31" s="22"/>
      <c r="J31" s="24"/>
      <c r="K31" s="2"/>
    </row>
    <row r="32" spans="1:15" ht="15.75" thickBot="1">
      <c r="A32" s="2">
        <v>3</v>
      </c>
      <c r="B32" s="2" t="s">
        <v>51</v>
      </c>
      <c r="C32" s="21"/>
      <c r="D32" s="35">
        <f>D9-D30</f>
        <v>-10404661.102173775</v>
      </c>
      <c r="E32" s="35">
        <f>E9-E30</f>
        <v>-5637156.2983053774</v>
      </c>
      <c r="F32" s="35">
        <f t="shared" ref="F32:O32" si="4">F9-F30</f>
        <v>-23652.505985125899</v>
      </c>
      <c r="G32" s="35">
        <f t="shared" si="4"/>
        <v>1971347.4940148741</v>
      </c>
      <c r="H32" s="35">
        <f t="shared" si="4"/>
        <v>18664858.870975643</v>
      </c>
      <c r="I32" s="35">
        <f t="shared" si="4"/>
        <v>-9446306469.4059296</v>
      </c>
      <c r="J32" s="35">
        <f t="shared" si="4"/>
        <v>33630723.317162961</v>
      </c>
      <c r="K32" s="35">
        <f t="shared" si="4"/>
        <v>44404538.178709805</v>
      </c>
      <c r="L32" s="35">
        <f t="shared" si="4"/>
        <v>44404538.178709805</v>
      </c>
      <c r="M32" s="35">
        <f t="shared" si="4"/>
        <v>40424643.714709818</v>
      </c>
      <c r="N32" s="35">
        <f t="shared" si="4"/>
        <v>0</v>
      </c>
      <c r="O32" s="35">
        <f t="shared" si="4"/>
        <v>0</v>
      </c>
    </row>
    <row r="33" spans="1:11" ht="15.75" thickBot="1">
      <c r="A33" s="2"/>
      <c r="B33" s="2"/>
      <c r="C33" s="21"/>
      <c r="D33" s="22"/>
      <c r="E33" s="22"/>
      <c r="F33" s="22"/>
      <c r="G33" s="22"/>
      <c r="H33" s="22"/>
      <c r="I33" s="22"/>
      <c r="J33" s="24"/>
      <c r="K33" s="2"/>
    </row>
    <row r="34" spans="1:11" ht="15.75" thickBot="1">
      <c r="A34" s="2">
        <v>4</v>
      </c>
      <c r="B34" s="2" t="s">
        <v>52</v>
      </c>
      <c r="C34" s="21"/>
      <c r="D34" s="35">
        <v>3108458.39017735</v>
      </c>
      <c r="E34" s="35">
        <v>3108458.3901773538</v>
      </c>
      <c r="F34" s="35">
        <v>3108458.3901773538</v>
      </c>
      <c r="G34" s="35">
        <v>3108458.39017735</v>
      </c>
      <c r="H34" s="35">
        <v>3108458.3901773538</v>
      </c>
      <c r="I34" s="35">
        <v>3108458.3901773538</v>
      </c>
      <c r="J34" s="35">
        <v>3108458.3901773538</v>
      </c>
      <c r="K34" s="2"/>
    </row>
    <row r="35" spans="1:11" ht="15.75" thickBot="1">
      <c r="A35" s="2"/>
      <c r="B35" s="2"/>
      <c r="C35" s="21"/>
      <c r="D35" s="35"/>
      <c r="E35" s="35"/>
      <c r="F35" s="35"/>
      <c r="G35" s="35"/>
      <c r="H35" s="35"/>
      <c r="I35" s="35"/>
      <c r="J35" s="35"/>
      <c r="K35" s="2"/>
    </row>
    <row r="36" spans="1:11" ht="15.75" thickBot="1">
      <c r="A36" s="2">
        <v>5</v>
      </c>
      <c r="B36" s="2" t="s">
        <v>127</v>
      </c>
      <c r="C36" s="21"/>
      <c r="D36" s="35">
        <f>(D32-D34)*30%</f>
        <v>-4053935.8477053377</v>
      </c>
      <c r="E36" s="35">
        <f t="shared" ref="E36:J36" si="5">(E32-E34)*30%</f>
        <v>-2623684.4065448195</v>
      </c>
      <c r="F36" s="35">
        <f t="shared" si="5"/>
        <v>-939633.26884874387</v>
      </c>
      <c r="G36" s="35">
        <f t="shared" si="5"/>
        <v>-341133.26884874277</v>
      </c>
      <c r="H36" s="35">
        <f t="shared" si="5"/>
        <v>4666920.1442394862</v>
      </c>
      <c r="I36" s="35">
        <f t="shared" si="5"/>
        <v>-2834824478.3388319</v>
      </c>
      <c r="J36" s="35">
        <f t="shared" si="5"/>
        <v>9156679.4780956823</v>
      </c>
      <c r="K36" s="2"/>
    </row>
    <row r="37" spans="1:11" ht="15.75" thickBot="1">
      <c r="A37" s="17" t="s">
        <v>3</v>
      </c>
      <c r="B37" s="17" t="s">
        <v>53</v>
      </c>
      <c r="C37" s="25">
        <f>-C22</f>
        <v>0</v>
      </c>
      <c r="D37" s="35">
        <f>D32-D34-D36</f>
        <v>-9459183.6446457878</v>
      </c>
      <c r="E37" s="35">
        <f t="shared" ref="E37:J37" si="6">E32-E34-E36</f>
        <v>-6121930.2819379121</v>
      </c>
      <c r="F37" s="35">
        <f t="shared" si="6"/>
        <v>-2192477.6273137359</v>
      </c>
      <c r="G37" s="35">
        <f t="shared" si="6"/>
        <v>-795977.6273137331</v>
      </c>
      <c r="H37" s="35">
        <f t="shared" si="6"/>
        <v>10889480.336558804</v>
      </c>
      <c r="I37" s="35">
        <f t="shared" si="6"/>
        <v>-6614590449.4572744</v>
      </c>
      <c r="J37" s="35">
        <f t="shared" si="6"/>
        <v>21365585.448889926</v>
      </c>
      <c r="K37" s="2"/>
    </row>
    <row r="38" spans="1:11" ht="15.75" thickBot="1">
      <c r="A38" s="2"/>
      <c r="B38" s="2" t="s">
        <v>130</v>
      </c>
      <c r="C38" s="22">
        <f>C37</f>
        <v>0</v>
      </c>
      <c r="D38" s="61">
        <f>C38+D37</f>
        <v>-9459183.6446457878</v>
      </c>
      <c r="E38" s="61">
        <f t="shared" ref="E38:J38" si="7">D38+E37</f>
        <v>-15581113.9265837</v>
      </c>
      <c r="F38" s="61">
        <f t="shared" si="7"/>
        <v>-17773591.553897437</v>
      </c>
      <c r="G38" s="61">
        <f t="shared" si="7"/>
        <v>-18569569.18121117</v>
      </c>
      <c r="H38" s="61">
        <f t="shared" si="7"/>
        <v>-7680088.8446523659</v>
      </c>
      <c r="I38" s="61">
        <f t="shared" si="7"/>
        <v>-6622270538.3019266</v>
      </c>
      <c r="J38" s="61">
        <f t="shared" si="7"/>
        <v>-6600904952.8530369</v>
      </c>
      <c r="K38" s="51"/>
    </row>
    <row r="39" spans="1:11" ht="15.75" thickBot="1">
      <c r="A39" s="2"/>
      <c r="B39" s="2"/>
      <c r="C39" s="22"/>
      <c r="D39" s="22"/>
      <c r="E39" s="22"/>
      <c r="F39" s="22"/>
      <c r="G39" s="22"/>
      <c r="H39" s="22"/>
      <c r="I39" s="22"/>
      <c r="J39" s="22"/>
      <c r="K39" s="51"/>
    </row>
    <row r="40" spans="1:11" ht="15.75" thickBot="1">
      <c r="A40" s="2"/>
      <c r="B40" s="2" t="s">
        <v>129</v>
      </c>
      <c r="C40" s="22"/>
      <c r="D40" s="22">
        <f>1/(1+$C$45)</f>
        <v>0.90909090909090906</v>
      </c>
      <c r="E40" s="22">
        <f t="shared" ref="E40:J40" si="8">D40/(1+$C$45)</f>
        <v>0.82644628099173545</v>
      </c>
      <c r="F40" s="22">
        <f t="shared" si="8"/>
        <v>0.75131480090157765</v>
      </c>
      <c r="G40" s="22">
        <f t="shared" si="8"/>
        <v>0.68301345536507052</v>
      </c>
      <c r="H40" s="22">
        <f t="shared" si="8"/>
        <v>0.62092132305915493</v>
      </c>
      <c r="I40" s="22">
        <f t="shared" si="8"/>
        <v>0.56447393005377711</v>
      </c>
      <c r="J40" s="22">
        <f t="shared" si="8"/>
        <v>0.51315811823070645</v>
      </c>
      <c r="K40" s="51"/>
    </row>
    <row r="41" spans="1:11" ht="15.75" thickBot="1">
      <c r="A41" s="2"/>
      <c r="B41" s="2" t="s">
        <v>132</v>
      </c>
      <c r="C41" s="21"/>
      <c r="D41" s="53">
        <f t="shared" ref="D41:J41" si="9">D37*D40</f>
        <v>-8599257.8587688971</v>
      </c>
      <c r="E41" s="53">
        <f t="shared" si="9"/>
        <v>-5059446.5139982738</v>
      </c>
      <c r="F41" s="53">
        <f t="shared" si="9"/>
        <v>-1647240.8920463829</v>
      </c>
      <c r="G41" s="53">
        <f t="shared" si="9"/>
        <v>-543663.42962484318</v>
      </c>
      <c r="H41" s="53">
        <f t="shared" si="9"/>
        <v>6761510.5380027443</v>
      </c>
      <c r="I41" s="53">
        <f t="shared" si="9"/>
        <v>-3733763866.7013278</v>
      </c>
      <c r="J41" s="53">
        <f t="shared" si="9"/>
        <v>10963923.623849718</v>
      </c>
      <c r="K41" s="51"/>
    </row>
    <row r="42" spans="1:11" ht="15.75" thickBot="1">
      <c r="A42" s="2"/>
      <c r="B42" s="66" t="s">
        <v>54</v>
      </c>
      <c r="C42" s="52">
        <f>SUM(D41:J41)+SUM(C37:C37)</f>
        <v>-3731888041.2339134</v>
      </c>
      <c r="D42" s="27"/>
      <c r="E42" s="27"/>
      <c r="F42" s="27"/>
      <c r="G42" s="27"/>
      <c r="H42" s="27"/>
      <c r="I42" s="27"/>
      <c r="J42" s="28"/>
      <c r="K42" s="2"/>
    </row>
    <row r="43" spans="1:11" ht="15.75" thickBot="1">
      <c r="A43" s="2"/>
      <c r="B43" s="63" t="s">
        <v>55</v>
      </c>
      <c r="C43" s="50" t="e">
        <f>IRR(C37:J37,6%)</f>
        <v>#NUM!</v>
      </c>
      <c r="D43" s="27"/>
      <c r="E43" s="27"/>
      <c r="F43" s="27"/>
      <c r="G43" s="27"/>
      <c r="H43" s="27"/>
      <c r="I43" s="27"/>
      <c r="J43" s="28"/>
      <c r="K43" s="2"/>
    </row>
    <row r="44" spans="1:11" ht="15.75" thickBot="1">
      <c r="A44" s="1"/>
      <c r="B44" s="64" t="s">
        <v>131</v>
      </c>
      <c r="C44" s="62">
        <f>3+(-F38/G37)</f>
        <v>-19.329260200289536</v>
      </c>
      <c r="D44" s="55"/>
      <c r="E44" s="55"/>
      <c r="F44" s="55"/>
      <c r="G44" s="55"/>
      <c r="H44" s="55"/>
      <c r="I44" s="55"/>
      <c r="J44" s="56"/>
      <c r="K44" s="1"/>
    </row>
    <row r="45" spans="1:11" ht="15.75" thickBot="1">
      <c r="B45" s="65" t="s">
        <v>113</v>
      </c>
      <c r="C45" s="67">
        <v>0.1</v>
      </c>
    </row>
    <row r="50" spans="3:10">
      <c r="J50" s="47"/>
    </row>
  </sheetData>
  <mergeCells count="2">
    <mergeCell ref="D3:K3"/>
    <mergeCell ref="C2:M2"/>
  </mergeCells>
  <hyperlinks>
    <hyperlink ref="B42" r:id="rId1" xr:uid="{1AE71A79-D5BA-4CA7-845E-4CB4AE685C06}"/>
  </hyperlinks>
  <pageMargins left="0.7" right="0.7" top="0.75" bottom="0.75" header="0.3" footer="0.3"/>
  <pageSetup orientation="portrait"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Cover Page</vt:lpstr>
      <vt:lpstr>Equipment List </vt:lpstr>
      <vt:lpstr>Capex</vt:lpstr>
      <vt:lpstr>Opex Segmental(84 KTPA)</vt:lpstr>
      <vt:lpstr>Opex</vt:lpstr>
      <vt:lpstr>Opex Total(84 KTPA)</vt:lpstr>
      <vt:lpstr>Salary and Wages Estimation</vt:lpstr>
      <vt:lpstr>Cash Flow Epoxy Resin</vt:lpstr>
      <vt:lpstr>Cash Flow</vt:lpstr>
      <vt:lpstr>Cost of Production - LER</vt:lpstr>
      <vt:lpstr>Cost of Production - SER</vt:lpstr>
      <vt:lpstr>Cost of Production - SSER</vt:lpstr>
      <vt:lpstr>Cost of Production- Specialized</vt:lpstr>
      <vt:lpstr>China Epoxy Resin</vt:lpstr>
      <vt:lpstr>Raw Material Prices</vt:lpstr>
      <vt:lpstr>Working sheet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Jaideep Kumar</dc:creator>
  <cp:lastModifiedBy>Hardik Malhotra</cp:lastModifiedBy>
  <cp:lastPrinted>2021-10-13T09:48:19Z</cp:lastPrinted>
  <dcterms:created xsi:type="dcterms:W3CDTF">2021-09-28T07:47:51Z</dcterms:created>
  <dcterms:modified xsi:type="dcterms:W3CDTF">2021-12-23T06:06:15Z</dcterms:modified>
</cp:coreProperties>
</file>